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bookViews>
    <workbookView xWindow="520" yWindow="460" windowWidth="33080" windowHeight="20540" tabRatio="500" activeTab="2"/>
  </bookViews>
  <sheets>
    <sheet name="Readme" sheetId="4" r:id="rId1"/>
    <sheet name="Input" sheetId="2" r:id="rId2"/>
    <sheet name="Output" sheetId="1" r:id="rId3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<sst xmlns="http://schemas.openxmlformats.org/spreadsheetml/2006/main" count="278" uniqueCount="109">
  <si>
    <t>Supplement</t>
  </si>
  <si>
    <t>Cost</t>
  </si>
  <si>
    <t>Servings</t>
  </si>
  <si>
    <t>Notes</t>
  </si>
  <si>
    <t>Leucine 2.5g, Isoleucine 1.25g, Valine, 1.25g</t>
  </si>
  <si>
    <t>Beta Alanine</t>
  </si>
  <si>
    <t>CoQ10</t>
  </si>
  <si>
    <t>Creatine</t>
  </si>
  <si>
    <t>Protein</t>
  </si>
  <si>
    <t>Taurine</t>
  </si>
  <si>
    <t>ZMA</t>
  </si>
  <si>
    <t>1.6g CarnoSyn, 550mg Histidine</t>
  </si>
  <si>
    <t>Omega 3</t>
  </si>
  <si>
    <t>5mL</t>
  </si>
  <si>
    <t>235mL</t>
  </si>
  <si>
    <t>EPA 1450mg, DHA 1060mg</t>
  </si>
  <si>
    <t>Name</t>
  </si>
  <si>
    <t>Nordic Naturals</t>
  </si>
  <si>
    <t>Optimum Nutrition</t>
  </si>
  <si>
    <t>Nature's Bounty</t>
  </si>
  <si>
    <t>EPA 647mg, DHA 253mg</t>
  </si>
  <si>
    <t>SFH Recovery</t>
  </si>
  <si>
    <t>SFH Push</t>
  </si>
  <si>
    <t>Beta Alanine 2.0g, Caffeine 135mg, Leucine 3.0g, Isoleucine 1.0g, Valine 1.0g</t>
  </si>
  <si>
    <t>Carbs</t>
  </si>
  <si>
    <t>Vitargo S2</t>
  </si>
  <si>
    <t>per serving carbs 70g</t>
  </si>
  <si>
    <t>-</t>
  </si>
  <si>
    <t>Glutamine</t>
  </si>
  <si>
    <t>NOW Foods</t>
  </si>
  <si>
    <t>Caffeine</t>
  </si>
  <si>
    <t>Carnitine</t>
  </si>
  <si>
    <t>Ribose</t>
  </si>
  <si>
    <t>Really only need 1-2 servings… (comparing to SFH)</t>
  </si>
  <si>
    <t>Arbonne Protein</t>
  </si>
  <si>
    <t>Arbonne Pre-workout</t>
  </si>
  <si>
    <t>Calories</t>
  </si>
  <si>
    <t>Fat</t>
  </si>
  <si>
    <t>Sugar</t>
  </si>
  <si>
    <t>Missing creatine and beta alanine on nWO days...</t>
  </si>
  <si>
    <t>Vegan/non-soy, lots of vitamins, not even close to enough CoQ10</t>
  </si>
  <si>
    <t>Vegan/non-soy, lots of vitamins, not even close to enough Ribose or Carnitine</t>
  </si>
  <si>
    <t>Sometimes included with creatine, can be used with beta alanine to avoid muscle crumping, not 100% needed</t>
  </si>
  <si>
    <t>per serving 30mg zinc, 450mg magnesium, 10.5g B6, can help with sleep/recovery</t>
  </si>
  <si>
    <t>SFH Pure</t>
  </si>
  <si>
    <t>Grass fed/non-GMO whey</t>
  </si>
  <si>
    <t>Whey</t>
  </si>
  <si>
    <t>Grass fed/non-GMO, No Valine! Creatine 2.7g, CoQ10/Glutamine/Leucine/Isoleucine/Taurine each 0.5g, Ribose 1.8g</t>
  </si>
  <si>
    <t>Protein+</t>
  </si>
  <si>
    <t>Priority</t>
  </si>
  <si>
    <t>Casein</t>
  </si>
  <si>
    <t>Desired</t>
  </si>
  <si>
    <t>Size (g)</t>
  </si>
  <si>
    <t>capsules</t>
  </si>
  <si>
    <t>Pre-workout</t>
  </si>
  <si>
    <t xml:space="preserve">Protein </t>
  </si>
  <si>
    <t>Default</t>
  </si>
  <si>
    <t>Warnings</t>
  </si>
  <si>
    <t>Safe, but may result in some water weight</t>
  </si>
  <si>
    <t>Safe, but may make you feel jittery</t>
  </si>
  <si>
    <t>Known blood thinner</t>
  </si>
  <si>
    <t>Discount</t>
  </si>
  <si>
    <t>WO/mo</t>
  </si>
  <si>
    <t>nWO/mo</t>
  </si>
  <si>
    <t>Total</t>
  </si>
  <si>
    <t>If looking to put on muscle, this is misssing a lot (including BCAA)…</t>
  </si>
  <si>
    <t>Warning</t>
  </si>
  <si>
    <t>Priorities</t>
  </si>
  <si>
    <t>* If considering supplements start with the #1 priorities</t>
  </si>
  <si>
    <t>* If you are looking for more results, consider #2 priorities (note Whey protein includes them, but this gets you more with less calories)</t>
  </si>
  <si>
    <t>* I am not a doctor, proceed at your own risk.</t>
  </si>
  <si>
    <t>Directions</t>
  </si>
  <si>
    <t>* On the Inputs sheet, fill in the values in green</t>
  </si>
  <si>
    <t>* On the Output sheet you will see the costs associated with your choices</t>
  </si>
  <si>
    <t>Months</t>
  </si>
  <si>
    <t>* I am not sponsored or paid by any of the brands -- they are either common to CrossFit or something I am using</t>
  </si>
  <si>
    <t>Legend</t>
  </si>
  <si>
    <t>* Months = how many months of product you have</t>
  </si>
  <si>
    <t>* WO/mo = Work Out days a month</t>
  </si>
  <si>
    <t>* nWO/mo = non Work Out days a month</t>
  </si>
  <si>
    <t>Some included in whey protein already</t>
  </si>
  <si>
    <t>Slow digesting</t>
  </si>
  <si>
    <t>Leucine (BCAA)</t>
  </si>
  <si>
    <t>Leucine (HMB)</t>
  </si>
  <si>
    <t>D3</t>
  </si>
  <si>
    <t>Multivitamin</t>
  </si>
  <si>
    <t>Only need one of the two</t>
  </si>
  <si>
    <t>Not whey, only need one of the three</t>
  </si>
  <si>
    <t>Some included in whey protein already, only need one of the two</t>
  </si>
  <si>
    <t>WO/total</t>
  </si>
  <si>
    <t>nWO/total</t>
  </si>
  <si>
    <t>Bulk Supplements</t>
  </si>
  <si>
    <t>Type</t>
  </si>
  <si>
    <t>Powder</t>
  </si>
  <si>
    <t>Capsules</t>
  </si>
  <si>
    <t>Liquid</t>
  </si>
  <si>
    <t>* This is not meant to be an all inclusive list, just some of the top supplement choices I have seen in CrossFit</t>
  </si>
  <si>
    <t>* If you really want to go all-in, consider some/all of the #3 priorities</t>
  </si>
  <si>
    <t>* Everything else is at your descretion (though I personally recommend workout carbs and Omega 3)</t>
  </si>
  <si>
    <t>Info</t>
  </si>
  <si>
    <t>Link</t>
  </si>
  <si>
    <t>* Desired = how much you want to consume per day</t>
  </si>
  <si>
    <t>* WO/total = cost of supplement per month based on Work Out days</t>
  </si>
  <si>
    <t>* nWO/total = cost of supplement per month based on non Work Out days</t>
  </si>
  <si>
    <t>* Anything in red/orange is something I think you need to pay special attention to</t>
  </si>
  <si>
    <t>* I recommend powders and liquids over capsules</t>
  </si>
  <si>
    <t>Fast digesting, only need one of the three, 5.5G BCAAs, 4G Glutamine</t>
  </si>
  <si>
    <t>Fast digesting, only need one of the three, G BCAAs, 0.5G Glutamine</t>
  </si>
  <si>
    <t xml:space="preserve">Ascent Casein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</si>
</sst>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16" applyFont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44" fontId="0" fillId="3" borderId="0" xfId="16" applyFont="1" applyFill="1" applyAlignment="1">
      <alignment horizontal="center"/>
    </xf>
    <xf numFmtId="44" fontId="2" fillId="3" borderId="0" xfId="16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4" fontId="0" fillId="0" borderId="0" xfId="0" applyNumberFormat="1" applyAlignment="1">
      <alignment horizontal="center"/>
    </xf>
    <xf numFmtId="44" fontId="0" fillId="3" borderId="0" xfId="0" applyNumberFormat="1" applyFill="1" applyAlignment="1">
      <alignment horizontal="center"/>
    </xf>
    <xf numFmtId="4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16" applyNumberFormat="1" applyFont="1" applyFill="1" applyAlignment="1">
      <alignment horizontal="center"/>
    </xf>
    <xf numFmtId="9" fontId="2" fillId="3" borderId="0" xfId="15" applyFont="1" applyFill="1" applyAlignment="1">
      <alignment horizontal="right"/>
    </xf>
    <xf numFmtId="0" fontId="3" fillId="0" borderId="0" xfId="20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/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9" fontId="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9" fontId="2" fillId="4" borderId="0" xfId="15" applyFont="1" applyFill="1" applyBorder="1" applyAlignment="1">
      <alignment horizontal="center"/>
    </xf>
    <xf numFmtId="9" fontId="2" fillId="0" borderId="0" xfId="15" applyFont="1" applyFill="1" applyBorder="1" applyAlignment="1">
      <alignment horizontal="center"/>
    </xf>
    <xf numFmtId="9" fontId="0" fillId="0" borderId="0" xfId="15" applyFont="1" applyFill="1" applyBorder="1" applyAlignment="1">
      <alignment horizontal="center"/>
    </xf>
    <xf numFmtId="164" fontId="0" fillId="0" borderId="0" xfId="0" applyNumberFormat="1"/>
    <xf numFmtId="0" fontId="2" fillId="0" borderId="0" xfId="0" applyNumberFormat="1" applyFont="1" applyAlignment="1">
      <alignment horizontal="center"/>
    </xf>
    <xf numFmtId="0" fontId="0" fillId="0" borderId="0" xfId="16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3" borderId="0" xfId="0" applyNumberFormat="1" applyFill="1" applyAlignment="1">
      <alignment horizontal="center"/>
    </xf>
    <xf numFmtId="0" fontId="0" fillId="3" borderId="0" xfId="16" applyNumberFormat="1" applyFont="1" applyFill="1" applyAlignment="1">
      <alignment horizontal="center"/>
    </xf>
    <xf numFmtId="0" fontId="2" fillId="3" borderId="0" xfId="15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center"/>
    </xf>
    <xf numFmtId="164" fontId="0" fillId="0" borderId="0" xfId="16" applyNumberFormat="1" applyFont="1" applyAlignment="1">
      <alignment horizontal="center"/>
    </xf>
    <xf numFmtId="1" fontId="0" fillId="0" borderId="0" xfId="16" applyNumberFormat="1" applyFont="1" applyAlignment="1">
      <alignment horizontal="center"/>
    </xf>
    <xf numFmtId="9" fontId="0" fillId="0" borderId="0" xfId="16" applyNumberFormat="1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44" fontId="0" fillId="0" borderId="0" xfId="16" applyNumberFormat="1" applyFont="1" applyAlignment="1">
      <alignment horizontal="center"/>
    </xf>
    <xf numFmtId="44" fontId="2" fillId="3" borderId="0" xfId="16" applyNumberFormat="1" applyFont="1" applyFill="1" applyAlignment="1">
      <alignment horizontal="center"/>
    </xf>
    <xf numFmtId="44" fontId="2" fillId="0" borderId="0" xfId="16" applyNumberFormat="1" applyFont="1" applyAlignment="1">
      <alignment horizontal="center"/>
    </xf>
    <xf numFmtId="44" fontId="0" fillId="0" borderId="0" xfId="16" applyNumberFormat="1" applyFont="1" applyAlignment="1">
      <alignment/>
    </xf>
    <xf numFmtId="44" fontId="0" fillId="0" borderId="0" xfId="16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Fill="1"/>
    <xf numFmtId="0" fontId="0" fillId="3" borderId="0" xfId="0" applyNumberFormat="1" applyFill="1" applyAlignment="1">
      <alignment/>
    </xf>
    <xf numFmtId="44" fontId="2" fillId="3" borderId="0" xfId="16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2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com/Vitargo-Pre-Intra-Post-Supplement-Unflavored-Servings/dp/B00LLIO1XW/ref=sr_1_2_s_it?s=hpc&amp;ie=UTF8&amp;qid=1483407073&amp;sr=1-2&amp;keywords=vitargo+s2" TargetMode="External" /><Relationship Id="rId2" Type="http://schemas.openxmlformats.org/officeDocument/2006/relationships/hyperlink" Target="https://www.amazon.com/Optimum-Nutrition-ZMA-180-Capsules/dp/B000GIQS02/ref=pd_sim_121_4?_encoding=UTF8&amp;pd_rd_i=B000GIQS02&amp;pd_rd_r=E1J38KDAMW2AQS124H4E&amp;pd_rd_w=3NOp7&amp;pd_rd_wg=XhFmm&amp;refRID=E1J38KDAMW2AQS124H4E&amp;th=1" TargetMode="External" /><Relationship Id="rId3" Type="http://schemas.openxmlformats.org/officeDocument/2006/relationships/hyperlink" Target="https://www.amazon.com/Natures-Bounty-Strength-One-Per-Odorless/dp/B00225UVDC/ref=sr_1_2_s_it?s=hpc&amp;ie=UTF8&amp;qid=1483373630&amp;sr=1-2&amp;keywords=natures%2Bbounty%2Bfish%2Boil%2B1400mg&amp;th=1" TargetMode="External" /><Relationship Id="rId4" Type="http://schemas.openxmlformats.org/officeDocument/2006/relationships/hyperlink" Target="https://www.amazon.com/Nordic-Naturals-Ultimate-Support-Healthy/dp/B015RZ8AN6/ref=sr_1_2_s_it?s=hpc&amp;ie=UTF8&amp;qid=1483373377&amp;sr=1-2&amp;keywords=Nordic%2BNaturals%2BUltimate%2BOmega%2Bfish%2Boil&amp;th=1" TargetMode="External" /><Relationship Id="rId5" Type="http://schemas.openxmlformats.org/officeDocument/2006/relationships/hyperlink" Target="https://www.sfh.com/shop/whey-protein/recovery.html" TargetMode="External" /><Relationship Id="rId6" Type="http://schemas.openxmlformats.org/officeDocument/2006/relationships/hyperlink" Target="https://www.sfh.com/push-1166.html" TargetMode="External" /><Relationship Id="rId7" Type="http://schemas.openxmlformats.org/officeDocument/2006/relationships/hyperlink" Target="https://www.sfh.com/pure-whey.html" TargetMode="External" /><Relationship Id="rId8" Type="http://schemas.openxmlformats.org/officeDocument/2006/relationships/hyperlink" Target="http://www.arbonne.com/pws/homeoffice/store/amus/product/vanilla-protein-shake-mix-powder-us-2070,1476,272.aspx" TargetMode="External" /><Relationship Id="rId9" Type="http://schemas.openxmlformats.org/officeDocument/2006/relationships/hyperlink" Target="http://www.arbonne.com/PWS/homeoffice/store/AMUS/product/Prepare-Endure-6260,7712,272.aspx" TargetMode="External" /><Relationship Id="rId10" Type="http://schemas.openxmlformats.org/officeDocument/2006/relationships/hyperlink" Target="https://www.amazon.com/gp/product/B002DYJ0M0/ref=ox_sc_act_title_1?ie=UTF8&amp;smid=ATVPDKIKX0DER&amp;th=1" TargetMode="External" /><Relationship Id="rId11" Type="http://schemas.openxmlformats.org/officeDocument/2006/relationships/hyperlink" Target="https://www.amazon.com/Now-Foods-Taurine-1000Mg-100-Capsules/dp/B0019LRYD0/ref=sr_1_3_a_it?ie=UTF8&amp;qid=1483404857&amp;sr=8-3&amp;keywords=taurine&amp;th=1" TargetMode="External" /><Relationship Id="rId12" Type="http://schemas.openxmlformats.org/officeDocument/2006/relationships/hyperlink" Target="https://www.amazon.com/Caffeine-Pills-tablets-ProLab-Bottles/dp/B00HTH5A9I/ref=sr_1_4_a_it?ie=UTF8&amp;qid=1483404933&amp;sr=8-4&amp;keywords=caffeine+pills+200mg" TargetMode="External" /><Relationship Id="rId13" Type="http://schemas.openxmlformats.org/officeDocument/2006/relationships/hyperlink" Target="https://www.amazon.com/Now-Foods-D-Ribose-Powder-8-Ounce/dp/B000MLAO4Y?th=1" TargetMode="External" /><Relationship Id="rId14" Type="http://schemas.openxmlformats.org/officeDocument/2006/relationships/hyperlink" Target="https://www.amazon.com/Optimum-Nutrition-Glutamine-Capsules-1000mg/dp/B002DYIZCQ/ref=pd_sim_121_15?_encoding=UTF8&amp;pd_rd_i=B002DYIZCQ&amp;pd_rd_r=QM272RYD1A0ZQRWMR6VY&amp;pd_rd_w=DaLBI&amp;pd_rd_wg=SLrGc&amp;refRID=QM272RYD1A0ZQRWMR6VY&amp;th=1" TargetMode="External" /><Relationship Id="rId15" Type="http://schemas.openxmlformats.org/officeDocument/2006/relationships/hyperlink" Target="https://www.amazon.com/Optimum-Nutrition-COQ10-Soft-Count/dp/B01JLPJRU8/ref=sr_1_1_a_it?srs=2597841011&amp;ie=UTF8&amp;qid=1483372182&amp;sr=8-1&amp;keywords=CoQ10" TargetMode="External" /><Relationship Id="rId16" Type="http://schemas.openxmlformats.org/officeDocument/2006/relationships/hyperlink" Target="https://www.amazon.com/NOW-Foods-Acetyl-L-Carnitine-500mg/dp/B000QSLINE/ref=sr_1_1_a_it?ie=UTF8&amp;qid=1483407145&amp;sr=8-1&amp;keywords=now%2Bfoods%2Bcarnitine&amp;th=1" TargetMode="External" /><Relationship Id="rId17" Type="http://schemas.openxmlformats.org/officeDocument/2006/relationships/hyperlink" Target="https://www.amazon.com/Optimum-Nutrition-Beta-Alanine-Unflavored-Ounce/dp/B002DYIZP8/ref=pd_sim_121_11?_encoding=UTF8&amp;pd_rd_i=B002DYIZP8&amp;pd_rd_r=DHR3BCNQFKGTPSH69TTD&amp;pd_rd_w=UNGic&amp;pd_rd_wg=RDRbb&amp;psc=1&amp;refRID=DHR3BCNQFKGTPSH69TTD" TargetMode="External" /><Relationship Id="rId18" Type="http://schemas.openxmlformats.org/officeDocument/2006/relationships/hyperlink" Target="https://www.amazon.com/Optimum-Nutrition-Instantized-5000mg-Unflavored/dp/B002DYIZIU/ref=zg_bs_6939949011_2?_encoding=UTF8&amp;refRID=XH8YY52YCZAZBRFCPJ01&amp;th=1" TargetMode="External" /><Relationship Id="rId19" Type="http://schemas.openxmlformats.org/officeDocument/2006/relationships/hyperlink" Target="https://www.amazon.com/Optimum-Nutrition-Creatine-Powder-Unflavored/dp/B002DYIZEO/ref=pd_bxgy_121_img_2?_encoding=UTF8&amp;pd_rd_i=B002DYIZEO&amp;pd_rd_r=3JC0WW01X2A2NE2VJV9F&amp;pd_rd_w=DffAE&amp;pd_rd_wg=IZyjj&amp;refRID=3JC0WW01X2A2NE2VJV9F&amp;th=1" TargetMode="External" /><Relationship Id="rId20" Type="http://schemas.openxmlformats.org/officeDocument/2006/relationships/hyperlink" Target="https://www.amazon.com/Optimum-Nutrition-Standard-Double-Chocolate/dp/B000GIQT2O/ref=pd_sim_121_2?_encoding=UTF8&amp;pd_rd_i=B000QSNYGI&amp;pd_rd_r=T5Z7CBGFF4XER095NZPJ&amp;pd_rd_w=wUZ4S&amp;pd_rd_wg=CsyRU&amp;refRID=T5Z7CBGFF4XER095NZPJ&amp;th=1" TargetMode="External" /><Relationship Id="rId21" Type="http://schemas.openxmlformats.org/officeDocument/2006/relationships/hyperlink" Target="https://www.sfh.com/pure-whey.html" TargetMode="External" /><Relationship Id="rId22" Type="http://schemas.openxmlformats.org/officeDocument/2006/relationships/hyperlink" Target="http://www.arbonne.com/pws/homeoffice/store/amus/product/vanilla-protein-shake-mix-powder-us-2070,1476,272.aspx" TargetMode="External" /><Relationship Id="rId23" Type="http://schemas.openxmlformats.org/officeDocument/2006/relationships/hyperlink" Target="https://www.amazon.com/Optimum-Nutrition-Glutamine-Capsules-1000mg/dp/B002DYIZCQ/ref=pd_sim_121_15?_encoding=UTF8&amp;pd_rd_i=B002DYIZCQ&amp;pd_rd_r=QM272RYD1A0ZQRWMR6VY&amp;pd_rd_w=DaLBI&amp;pd_rd_wg=SLrGc&amp;refRID=QM272RYD1A0ZQRWMR6VY&amp;th=1" TargetMode="External" /><Relationship Id="rId24" Type="http://schemas.openxmlformats.org/officeDocument/2006/relationships/hyperlink" Target="https://www.ascentprotein.com/products/native-fuel-micellar-casein-protein-powder-blend-c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com/Vitargo-Pre-Intra-Post-Supplement-Unflavored-Servings/dp/B00LLIO1XW/ref=sr_1_2_s_it?s=hpc&amp;ie=UTF8&amp;qid=1483407073&amp;sr=1-2&amp;keywords=vitargo+s2" TargetMode="External" /><Relationship Id="rId2" Type="http://schemas.openxmlformats.org/officeDocument/2006/relationships/hyperlink" Target="https://www.amazon.com/Optimum-Nutrition-ZMA-180-Capsules/dp/B000GIQS02/ref=pd_sim_121_4?_encoding=UTF8&amp;pd_rd_i=B000GIQS02&amp;pd_rd_r=E1J38KDAMW2AQS124H4E&amp;pd_rd_w=3NOp7&amp;pd_rd_wg=XhFmm&amp;refRID=E1J38KDAMW2AQS124H4E&amp;th=1" TargetMode="External" /><Relationship Id="rId3" Type="http://schemas.openxmlformats.org/officeDocument/2006/relationships/hyperlink" Target="https://www.amazon.com/Natures-Bounty-Strength-One-Per-Odorless/dp/B00225UVDC/ref=sr_1_2_s_it?s=hpc&amp;ie=UTF8&amp;qid=1483373630&amp;sr=1-2&amp;keywords=natures%2Bbounty%2Bfish%2Boil%2B1400mg&amp;th=1" TargetMode="External" /><Relationship Id="rId4" Type="http://schemas.openxmlformats.org/officeDocument/2006/relationships/hyperlink" Target="https://www.amazon.com/Nordic-Naturals-Ultimate-Support-Healthy/dp/B015RZ8AN6/ref=sr_1_2_s_it?s=hpc&amp;ie=UTF8&amp;qid=1483373377&amp;sr=1-2&amp;keywords=Nordic%2BNaturals%2BUltimate%2BOmega%2Bfish%2Boil&amp;th=1" TargetMode="External" /><Relationship Id="rId5" Type="http://schemas.openxmlformats.org/officeDocument/2006/relationships/hyperlink" Target="https://www.sfh.com/shop/whey-protein/recovery.html" TargetMode="External" /><Relationship Id="rId6" Type="http://schemas.openxmlformats.org/officeDocument/2006/relationships/hyperlink" Target="https://www.sfh.com/push-1166.html" TargetMode="External" /><Relationship Id="rId7" Type="http://schemas.openxmlformats.org/officeDocument/2006/relationships/hyperlink" Target="https://www.sfh.com/pure-whey.html" TargetMode="External" /><Relationship Id="rId8" Type="http://schemas.openxmlformats.org/officeDocument/2006/relationships/hyperlink" Target="http://www.arbonne.com/pws/homeoffice/store/amus/product/vanilla-protein-shake-mix-powder-us-2070,1476,272.aspx" TargetMode="External" /><Relationship Id="rId9" Type="http://schemas.openxmlformats.org/officeDocument/2006/relationships/hyperlink" Target="http://www.arbonne.com/PWS/homeoffice/store/AMUS/product/Prepare-Endure-6260,7712,272.aspx" TargetMode="External" /><Relationship Id="rId10" Type="http://schemas.openxmlformats.org/officeDocument/2006/relationships/hyperlink" Target="https://www.amazon.com/gp/product/B002DYJ0M0/ref=ox_sc_act_title_1?ie=UTF8&amp;smid=ATVPDKIKX0DER&amp;th=1" TargetMode="External" /><Relationship Id="rId11" Type="http://schemas.openxmlformats.org/officeDocument/2006/relationships/hyperlink" Target="https://www.amazon.com/Now-Foods-Taurine-1000Mg-100-Capsules/dp/B0019LRYD0/ref=sr_1_3_a_it?ie=UTF8&amp;qid=1483404857&amp;sr=8-3&amp;keywords=taurine&amp;th=1" TargetMode="External" /><Relationship Id="rId12" Type="http://schemas.openxmlformats.org/officeDocument/2006/relationships/hyperlink" Target="https://www.amazon.com/Caffeine-Pills-tablets-ProLab-Bottles/dp/B00HTH5A9I/ref=sr_1_4_a_it?ie=UTF8&amp;qid=1483404933&amp;sr=8-4&amp;keywords=caffeine+pills+200mg" TargetMode="External" /><Relationship Id="rId13" Type="http://schemas.openxmlformats.org/officeDocument/2006/relationships/hyperlink" Target="https://www.amazon.com/Now-Foods-D-Ribose-Powder-8-Ounce/dp/B000MLAO4Y?th=1" TargetMode="External" /><Relationship Id="rId14" Type="http://schemas.openxmlformats.org/officeDocument/2006/relationships/hyperlink" Target="https://www.amazon.com/Optimum-Nutrition-Glutamine-Capsules-1000mg/dp/B002DYIZCQ/ref=pd_sim_121_15?_encoding=UTF8&amp;pd_rd_i=B002DYIZCQ&amp;pd_rd_r=QM272RYD1A0ZQRWMR6VY&amp;pd_rd_w=DaLBI&amp;pd_rd_wg=SLrGc&amp;refRID=QM272RYD1A0ZQRWMR6VY&amp;th=1" TargetMode="External" /><Relationship Id="rId15" Type="http://schemas.openxmlformats.org/officeDocument/2006/relationships/hyperlink" Target="https://www.amazon.com/Optimum-Nutrition-COQ10-Soft-Count/dp/B01JLPJRU8/ref=sr_1_1_a_it?srs=2597841011&amp;ie=UTF8&amp;qid=1483372182&amp;sr=8-1&amp;keywords=CoQ10" TargetMode="External" /><Relationship Id="rId16" Type="http://schemas.openxmlformats.org/officeDocument/2006/relationships/hyperlink" Target="https://www.amazon.com/NOW-Foods-Acetyl-L-Carnitine-500mg/dp/B000QSLINE/ref=sr_1_1_a_it?ie=UTF8&amp;qid=1483407145&amp;sr=8-1&amp;keywords=now%2Bfoods%2Bcarnitine&amp;th=1" TargetMode="External" /><Relationship Id="rId17" Type="http://schemas.openxmlformats.org/officeDocument/2006/relationships/hyperlink" Target="https://www.amazon.com/Optimum-Nutrition-Beta-Alanine-Unflavored-Ounce/dp/B002DYIZP8/ref=pd_sim_121_11?_encoding=UTF8&amp;pd_rd_i=B002DYIZP8&amp;pd_rd_r=DHR3BCNQFKGTPSH69TTD&amp;pd_rd_w=UNGic&amp;pd_rd_wg=RDRbb&amp;psc=1&amp;refRID=DHR3BCNQFKGTPSH69TTD" TargetMode="External" /><Relationship Id="rId18" Type="http://schemas.openxmlformats.org/officeDocument/2006/relationships/hyperlink" Target="https://www.amazon.com/Optimum-Nutrition-Instantized-5000mg-Unflavored/dp/B002DYIZIU/ref=zg_bs_6939949011_2?_encoding=UTF8&amp;refRID=XH8YY52YCZAZBRFCPJ01&amp;th=1" TargetMode="External" /><Relationship Id="rId19" Type="http://schemas.openxmlformats.org/officeDocument/2006/relationships/hyperlink" Target="https://www.amazon.com/Optimum-Nutrition-Creatine-Powder-Unflavored/dp/B002DYIZEO/ref=pd_bxgy_121_img_2?_encoding=UTF8&amp;pd_rd_i=B002DYIZEO&amp;pd_rd_r=3JC0WW01X2A2NE2VJV9F&amp;pd_rd_w=DffAE&amp;pd_rd_wg=IZyjj&amp;refRID=3JC0WW01X2A2NE2VJV9F&amp;th=1" TargetMode="External" /><Relationship Id="rId20" Type="http://schemas.openxmlformats.org/officeDocument/2006/relationships/hyperlink" Target="https://www.amazon.com/Optimum-Nutrition-Standard-Double-Chocolate/dp/B000GIQT2O/ref=pd_sim_121_2?_encoding=UTF8&amp;pd_rd_i=B000QSNYGI&amp;pd_rd_r=T5Z7CBGFF4XER095NZPJ&amp;pd_rd_w=wUZ4S&amp;pd_rd_wg=CsyRU&amp;refRID=T5Z7CBGFF4XER095NZPJ&amp;th=1" TargetMode="External" /><Relationship Id="rId21" Type="http://schemas.openxmlformats.org/officeDocument/2006/relationships/hyperlink" Target="https://www.sfh.com/pure-whey.html" TargetMode="External" /><Relationship Id="rId22" Type="http://schemas.openxmlformats.org/officeDocument/2006/relationships/hyperlink" Target="http://www.arbonne.com/pws/homeoffice/store/amus/product/vanilla-protein-shake-mix-powder-us-2070,1476,272.aspx" TargetMode="External" /><Relationship Id="rId23" Type="http://schemas.openxmlformats.org/officeDocument/2006/relationships/hyperlink" Target="https://www.amazon.com/Optimum-Nutrition-Glutamine-Powder-1000g/dp/B000GIUQR8/ref=sr_1_1_a_it?ie=UTF8&amp;qid=1483555882&amp;sr=8-1&amp;keywords=glutamine%2Boptimum%2Bnutrition&amp;th=1" TargetMode="External" /><Relationship Id="rId24" Type="http://schemas.openxmlformats.org/officeDocument/2006/relationships/hyperlink" Target="https://www.amazon.com/BulkSupplements-Pure-HMB-Powder-grams/dp/B017L2M868/ref=sr_1_1?s=hpc&amp;ie=UTF8&amp;qid=1483568199&amp;sr=1-1-spons&amp;keywords=hmb&amp;th=1" TargetMode="External" /><Relationship Id="rId25" Type="http://schemas.openxmlformats.org/officeDocument/2006/relationships/hyperlink" Target="https://www.crossfitinvictus.com/wod/thursday-may-28-2009/" TargetMode="External" /><Relationship Id="rId26" Type="http://schemas.openxmlformats.org/officeDocument/2006/relationships/hyperlink" Target="http://www.tierthreetactical.com/crossfit-supplement-review-hmb-creatine/" TargetMode="External" /><Relationship Id="rId27" Type="http://schemas.openxmlformats.org/officeDocument/2006/relationships/hyperlink" Target="http://hyperionmind.com/blogs/news/16257500-hmb-vs-leucine-which-is-better" TargetMode="External" /><Relationship Id="rId28" Type="http://schemas.openxmlformats.org/officeDocument/2006/relationships/hyperlink" Target="http://www.bodybuilding.com/fun/beast7.htm" TargetMode="External" /><Relationship Id="rId29" Type="http://schemas.openxmlformats.org/officeDocument/2006/relationships/hyperlink" Target="http://www.bodybuilding.com/fun/beast7.htm" TargetMode="External" /><Relationship Id="rId30" Type="http://schemas.openxmlformats.org/officeDocument/2006/relationships/hyperlink" Target="http://strongerfasterhealthier.tumblr.com/post/4748396222/whats-in-my-recovery-product-sfh-post-workout" TargetMode="External" /><Relationship Id="rId31" Type="http://schemas.openxmlformats.org/officeDocument/2006/relationships/hyperlink" Target="https://www.ascentprotein.com/products/native-fuel-micellar-casein-protein-powder-blend-c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11.00390625" defaultRowHeight="15.75"/>
  <cols>
    <col min="1" max="1" width="118.875" style="0" customWidth="1"/>
  </cols>
  <sheetData>
    <row r="1" ht="15.75">
      <c r="A1" s="11" t="s">
        <v>66</v>
      </c>
    </row>
    <row r="2" ht="15.75">
      <c r="A2" t="s">
        <v>70</v>
      </c>
    </row>
    <row r="3" ht="15.75">
      <c r="A3" t="s">
        <v>75</v>
      </c>
    </row>
    <row r="4" ht="15.75">
      <c r="A4" t="s">
        <v>96</v>
      </c>
    </row>
    <row r="6" ht="15.75">
      <c r="A6" s="11" t="s">
        <v>67</v>
      </c>
    </row>
    <row r="7" ht="15.75">
      <c r="A7" t="s">
        <v>68</v>
      </c>
    </row>
    <row r="8" ht="15.75">
      <c r="A8" t="s">
        <v>69</v>
      </c>
    </row>
    <row r="9" ht="15.75">
      <c r="A9" t="s">
        <v>97</v>
      </c>
    </row>
    <row r="10" ht="15.75">
      <c r="A10" t="s">
        <v>98</v>
      </c>
    </row>
    <row r="12" ht="15.75">
      <c r="A12" s="11" t="s">
        <v>71</v>
      </c>
    </row>
    <row r="13" ht="15.75">
      <c r="A13" t="s">
        <v>72</v>
      </c>
    </row>
    <row r="14" ht="15.75">
      <c r="A14" t="s">
        <v>73</v>
      </c>
    </row>
    <row r="16" ht="15.75">
      <c r="A16" s="11" t="s">
        <v>76</v>
      </c>
    </row>
    <row r="17" s="33" customFormat="1" ht="15.75">
      <c r="A17" s="64" t="s">
        <v>104</v>
      </c>
    </row>
    <row r="18" ht="15.75">
      <c r="A18" t="s">
        <v>77</v>
      </c>
    </row>
    <row r="19" ht="15.75">
      <c r="A19" t="s">
        <v>101</v>
      </c>
    </row>
    <row r="20" ht="15.75">
      <c r="A20" t="s">
        <v>78</v>
      </c>
    </row>
    <row r="21" ht="15.75">
      <c r="A21" t="s">
        <v>102</v>
      </c>
    </row>
    <row r="22" ht="15.75">
      <c r="A22" t="s">
        <v>79</v>
      </c>
    </row>
    <row r="23" ht="15.75">
      <c r="A23" t="s">
        <v>103</v>
      </c>
    </row>
    <row r="25" ht="15.75">
      <c r="A25" s="11" t="s">
        <v>3</v>
      </c>
    </row>
    <row r="26" ht="15.75">
      <c r="A26" t="s">
        <v>105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">
      <pane ySplit="1" topLeftCell="A2" activePane="bottomLeft" state="frozen"/>
      <selection pane="bottomLeft" activeCell="D27" sqref="D27"/>
    </sheetView>
  </sheetViews>
  <sheetFormatPr defaultColWidth="11.00390625" defaultRowHeight="15.75"/>
  <cols>
    <col min="1" max="1" width="9.125" style="2" customWidth="1"/>
    <col min="2" max="2" width="13.125" style="2" customWidth="1"/>
    <col min="3" max="3" width="19.625" style="2" customWidth="1"/>
    <col min="4" max="4" width="9.375" style="2" customWidth="1"/>
    <col min="5" max="5" width="10.50390625" style="25" customWidth="1"/>
    <col min="6" max="6" width="10.50390625" style="38" customWidth="1"/>
    <col min="9" max="9" width="62.50390625" style="0" customWidth="1"/>
  </cols>
  <sheetData>
    <row r="1" spans="1:9" ht="15.75">
      <c r="A1" s="15" t="s">
        <v>49</v>
      </c>
      <c r="B1" s="15" t="s">
        <v>0</v>
      </c>
      <c r="C1" s="15" t="s">
        <v>16</v>
      </c>
      <c r="D1" s="15" t="s">
        <v>52</v>
      </c>
      <c r="E1" s="25" t="s">
        <v>51</v>
      </c>
      <c r="F1" s="38" t="s">
        <v>61</v>
      </c>
      <c r="G1" s="25" t="s">
        <v>62</v>
      </c>
      <c r="H1" s="25" t="s">
        <v>63</v>
      </c>
      <c r="I1" s="35" t="s">
        <v>3</v>
      </c>
    </row>
    <row r="2" spans="1:9" ht="15.75">
      <c r="A2" s="2">
        <v>1</v>
      </c>
      <c r="B2" s="2" t="s">
        <v>8</v>
      </c>
      <c r="C2" s="23" t="s">
        <v>18</v>
      </c>
      <c r="D2" s="2">
        <v>24</v>
      </c>
      <c r="E2" s="30">
        <f>IF(E49="SFH",30,30)</f>
        <v>30</v>
      </c>
      <c r="F2" s="37">
        <v>0</v>
      </c>
      <c r="I2" t="s">
        <v>106</v>
      </c>
    </row>
    <row r="3" spans="1:9" ht="15.75">
      <c r="A3" s="2">
        <v>1</v>
      </c>
      <c r="B3" s="2" t="s">
        <v>8</v>
      </c>
      <c r="C3" s="23" t="s">
        <v>44</v>
      </c>
      <c r="D3" s="2">
        <f>D40</f>
        <v>24</v>
      </c>
      <c r="E3" s="30">
        <f>IF(E49="SFH",0,0)</f>
        <v>0</v>
      </c>
      <c r="F3" s="37">
        <v>0</v>
      </c>
      <c r="I3" t="s">
        <v>107</v>
      </c>
    </row>
    <row r="4" spans="1:9" ht="15.75">
      <c r="A4" s="2">
        <v>1</v>
      </c>
      <c r="B4" s="2" t="s">
        <v>8</v>
      </c>
      <c r="C4" s="23" t="s">
        <v>34</v>
      </c>
      <c r="D4" s="2">
        <f>D45</f>
        <v>20</v>
      </c>
      <c r="E4" s="30">
        <f>IF(E49="SFH",0,0)</f>
        <v>0</v>
      </c>
      <c r="F4" s="37">
        <v>0.3</v>
      </c>
      <c r="I4" t="s">
        <v>87</v>
      </c>
    </row>
    <row r="5" spans="1:6" ht="15.75">
      <c r="A5"/>
      <c r="B5"/>
      <c r="C5"/>
      <c r="D5"/>
      <c r="E5" s="31"/>
      <c r="F5" s="39"/>
    </row>
    <row r="6" spans="1:6" ht="15.75">
      <c r="A6" s="2">
        <v>1</v>
      </c>
      <c r="B6" s="2" t="s">
        <v>7</v>
      </c>
      <c r="C6" s="23" t="s">
        <v>18</v>
      </c>
      <c r="D6" s="2">
        <v>5</v>
      </c>
      <c r="E6" s="30">
        <f>IF(E49="SFH",5,5)</f>
        <v>5</v>
      </c>
      <c r="F6" s="37">
        <v>0.05</v>
      </c>
    </row>
    <row r="7" spans="3:6" ht="15.75">
      <c r="C7" s="23"/>
      <c r="E7" s="30"/>
      <c r="F7" s="37"/>
    </row>
    <row r="8" spans="1:9" ht="15.75">
      <c r="A8" s="2">
        <v>2</v>
      </c>
      <c r="B8" s="2" t="s">
        <v>82</v>
      </c>
      <c r="C8" s="23" t="s">
        <v>18</v>
      </c>
      <c r="D8" s="2">
        <v>5</v>
      </c>
      <c r="E8" s="30">
        <v>0</v>
      </c>
      <c r="F8" s="37">
        <v>0.05</v>
      </c>
      <c r="I8" t="s">
        <v>86</v>
      </c>
    </row>
    <row r="9" spans="1:9" ht="15.75">
      <c r="A9" s="2">
        <v>2</v>
      </c>
      <c r="B9" s="2" t="s">
        <v>83</v>
      </c>
      <c r="C9" s="23"/>
      <c r="D9" s="2">
        <v>1</v>
      </c>
      <c r="E9" s="30">
        <v>0</v>
      </c>
      <c r="F9" s="37">
        <v>0.05</v>
      </c>
      <c r="I9" t="s">
        <v>86</v>
      </c>
    </row>
    <row r="10" spans="1:6" ht="15.75">
      <c r="A10" s="2">
        <v>2</v>
      </c>
      <c r="B10" s="2" t="s">
        <v>83</v>
      </c>
      <c r="C10" s="23"/>
      <c r="D10" s="2">
        <v>1</v>
      </c>
      <c r="E10" s="30">
        <v>3</v>
      </c>
      <c r="F10" s="37">
        <v>0</v>
      </c>
    </row>
    <row r="11" spans="3:6" ht="15.75">
      <c r="C11" s="23"/>
      <c r="E11" s="30"/>
      <c r="F11" s="37"/>
    </row>
    <row r="12" spans="1:9" ht="15.75">
      <c r="A12" s="2">
        <v>2</v>
      </c>
      <c r="B12" s="2" t="s">
        <v>5</v>
      </c>
      <c r="C12" s="23" t="s">
        <v>18</v>
      </c>
      <c r="D12" s="2">
        <v>2.7</v>
      </c>
      <c r="E12" s="30">
        <v>4</v>
      </c>
      <c r="F12" s="37">
        <v>0.05</v>
      </c>
      <c r="G12" s="40"/>
      <c r="H12" s="40"/>
      <c r="I12" t="s">
        <v>80</v>
      </c>
    </row>
    <row r="13" spans="1:6" ht="15.75">
      <c r="A13"/>
      <c r="B13"/>
      <c r="C13"/>
      <c r="D13"/>
      <c r="E13" s="31"/>
      <c r="F13" s="39"/>
    </row>
    <row r="14" spans="1:6" ht="15.75">
      <c r="A14" s="2">
        <v>3</v>
      </c>
      <c r="B14" s="2" t="s">
        <v>31</v>
      </c>
      <c r="C14" s="23" t="s">
        <v>29</v>
      </c>
      <c r="D14" s="2">
        <v>0.5</v>
      </c>
      <c r="E14" s="30">
        <v>0</v>
      </c>
      <c r="F14" s="37">
        <v>0</v>
      </c>
    </row>
    <row r="15" spans="1:6" ht="15.75">
      <c r="A15" s="2">
        <v>3</v>
      </c>
      <c r="B15" s="2" t="s">
        <v>6</v>
      </c>
      <c r="C15" s="23" t="s">
        <v>18</v>
      </c>
      <c r="D15" s="2">
        <v>0.1</v>
      </c>
      <c r="E15" s="30">
        <v>0.3</v>
      </c>
      <c r="F15" s="37">
        <v>0.05</v>
      </c>
    </row>
    <row r="16" spans="3:6" ht="15.75">
      <c r="C16" s="23"/>
      <c r="E16" s="30"/>
      <c r="F16" s="37"/>
    </row>
    <row r="17" spans="1:9" ht="15.75">
      <c r="A17" s="2">
        <v>3</v>
      </c>
      <c r="B17" s="2" t="s">
        <v>28</v>
      </c>
      <c r="C17" s="23" t="s">
        <v>18</v>
      </c>
      <c r="D17" s="2">
        <v>1</v>
      </c>
      <c r="E17" s="30">
        <v>0</v>
      </c>
      <c r="F17" s="37">
        <v>0</v>
      </c>
      <c r="I17" t="s">
        <v>88</v>
      </c>
    </row>
    <row r="18" spans="1:9" ht="15.75">
      <c r="A18" s="2">
        <v>3</v>
      </c>
      <c r="B18" s="2" t="s">
        <v>28</v>
      </c>
      <c r="C18" s="23" t="s">
        <v>18</v>
      </c>
      <c r="D18" s="2">
        <v>5</v>
      </c>
      <c r="E18" s="30">
        <v>0</v>
      </c>
      <c r="F18" s="37">
        <v>0.05</v>
      </c>
      <c r="I18" t="s">
        <v>88</v>
      </c>
    </row>
    <row r="19" spans="3:6" ht="15.75">
      <c r="C19" s="23"/>
      <c r="E19" s="30"/>
      <c r="F19" s="37"/>
    </row>
    <row r="20" spans="1:6" ht="15.75">
      <c r="A20" s="2">
        <v>3</v>
      </c>
      <c r="B20" s="2" t="s">
        <v>32</v>
      </c>
      <c r="C20" s="23" t="s">
        <v>29</v>
      </c>
      <c r="D20" s="2">
        <v>3.3</v>
      </c>
      <c r="E20" s="30">
        <v>0</v>
      </c>
      <c r="F20" s="37">
        <v>0</v>
      </c>
    </row>
    <row r="21" spans="1:6" ht="15.75">
      <c r="A21" s="2" t="s">
        <v>27</v>
      </c>
      <c r="B21" s="2" t="s">
        <v>30</v>
      </c>
      <c r="C21" s="23" t="s">
        <v>30</v>
      </c>
      <c r="D21" s="2">
        <v>0.2</v>
      </c>
      <c r="E21" s="30">
        <f>IF(E49="SFH",0.2,0)</f>
        <v>0</v>
      </c>
      <c r="F21" s="37">
        <v>0</v>
      </c>
    </row>
    <row r="22" spans="1:6" ht="15.75">
      <c r="A22" s="2" t="s">
        <v>27</v>
      </c>
      <c r="B22" s="2" t="s">
        <v>9</v>
      </c>
      <c r="C22" s="23" t="s">
        <v>29</v>
      </c>
      <c r="D22" s="2">
        <v>1</v>
      </c>
      <c r="E22" s="30">
        <f>IF(E49="SFH",1,0)</f>
        <v>0</v>
      </c>
      <c r="F22" s="37">
        <v>0</v>
      </c>
    </row>
    <row r="23" spans="1:6" ht="15.75">
      <c r="A23"/>
      <c r="B23"/>
      <c r="C23"/>
      <c r="D23"/>
      <c r="E23" s="31"/>
      <c r="F23" s="39"/>
    </row>
    <row r="24" spans="1:4" ht="15.75">
      <c r="A24" s="6"/>
      <c r="B24" s="6"/>
      <c r="C24" s="6"/>
      <c r="D24" s="6"/>
    </row>
    <row r="25" spans="1:6" ht="15.75">
      <c r="A25"/>
      <c r="B25"/>
      <c r="C25"/>
      <c r="D25"/>
      <c r="E25" s="31"/>
      <c r="F25" s="39"/>
    </row>
    <row r="26" spans="1:9" ht="15.75">
      <c r="A26" s="2" t="s">
        <v>27</v>
      </c>
      <c r="B26" s="2" t="s">
        <v>50</v>
      </c>
      <c r="C26" s="23" t="s">
        <v>18</v>
      </c>
      <c r="D26" s="2">
        <v>24</v>
      </c>
      <c r="E26" s="30">
        <v>35</v>
      </c>
      <c r="F26" s="37">
        <v>0.05</v>
      </c>
      <c r="I26" t="s">
        <v>81</v>
      </c>
    </row>
    <row r="27" spans="1:6" ht="15.75">
      <c r="A27" s="2" t="s">
        <v>27</v>
      </c>
      <c r="B27" s="2" t="s">
        <v>50</v>
      </c>
      <c r="C27" s="23" t="s">
        <v>108</v>
      </c>
      <c r="D27" s="70">
        <v>25</v>
      </c>
      <c r="E27" s="30">
        <v>0</v>
      </c>
      <c r="F27" s="37">
        <v>0</v>
      </c>
    </row>
    <row r="28" spans="1:6" ht="15.75">
      <c r="A28"/>
      <c r="B28"/>
      <c r="C28"/>
      <c r="D28"/>
      <c r="E28" s="31"/>
      <c r="F28" s="39"/>
    </row>
    <row r="29" spans="1:6" ht="15.75">
      <c r="A29" s="2" t="s">
        <v>27</v>
      </c>
      <c r="B29" s="2" t="s">
        <v>24</v>
      </c>
      <c r="C29" s="23" t="s">
        <v>25</v>
      </c>
      <c r="D29" s="2">
        <v>70</v>
      </c>
      <c r="E29" s="30">
        <v>52.5</v>
      </c>
      <c r="F29" s="37">
        <v>0</v>
      </c>
    </row>
    <row r="30" spans="1:6" ht="15.75">
      <c r="A30" s="2" t="s">
        <v>27</v>
      </c>
      <c r="B30" s="2" t="s">
        <v>84</v>
      </c>
      <c r="C30" s="23"/>
      <c r="E30" s="30"/>
      <c r="F30" s="37"/>
    </row>
    <row r="31" spans="1:6" ht="15.75">
      <c r="A31" s="2" t="s">
        <v>27</v>
      </c>
      <c r="B31" s="2" t="s">
        <v>85</v>
      </c>
      <c r="C31" s="23"/>
      <c r="E31" s="30"/>
      <c r="F31" s="37"/>
    </row>
    <row r="33" spans="1:6" ht="15.75">
      <c r="A33" s="2" t="s">
        <v>27</v>
      </c>
      <c r="B33" s="2" t="s">
        <v>10</v>
      </c>
      <c r="C33" s="23" t="s">
        <v>18</v>
      </c>
      <c r="D33" s="2" t="s">
        <v>53</v>
      </c>
      <c r="E33" s="30">
        <v>3</v>
      </c>
      <c r="F33" s="37">
        <v>0.05</v>
      </c>
    </row>
    <row r="34" spans="1:6" ht="15.75">
      <c r="A34"/>
      <c r="B34"/>
      <c r="C34"/>
      <c r="D34"/>
      <c r="E34" s="31"/>
      <c r="F34" s="39"/>
    </row>
    <row r="35" spans="1:9" ht="15.75">
      <c r="A35" s="2" t="s">
        <v>27</v>
      </c>
      <c r="B35" s="2" t="s">
        <v>12</v>
      </c>
      <c r="C35" s="23" t="s">
        <v>19</v>
      </c>
      <c r="D35" s="2" t="s">
        <v>53</v>
      </c>
      <c r="E35" s="30">
        <v>2</v>
      </c>
      <c r="F35" s="37">
        <v>0</v>
      </c>
      <c r="I35" t="s">
        <v>86</v>
      </c>
    </row>
    <row r="36" spans="1:9" ht="15.75">
      <c r="A36" s="2" t="s">
        <v>27</v>
      </c>
      <c r="B36" s="2" t="s">
        <v>12</v>
      </c>
      <c r="C36" s="23" t="s">
        <v>17</v>
      </c>
      <c r="D36" s="2" t="s">
        <v>14</v>
      </c>
      <c r="E36" s="30" t="s">
        <v>13</v>
      </c>
      <c r="F36" s="37">
        <v>0</v>
      </c>
      <c r="I36" t="s">
        <v>86</v>
      </c>
    </row>
    <row r="37" spans="1:6" ht="15.75">
      <c r="A37"/>
      <c r="B37"/>
      <c r="C37"/>
      <c r="D37"/>
      <c r="E37" s="31"/>
      <c r="F37" s="39"/>
    </row>
    <row r="38" spans="1:4" ht="15.75">
      <c r="A38" s="10"/>
      <c r="B38" s="10"/>
      <c r="C38" s="10"/>
      <c r="D38" s="10"/>
    </row>
    <row r="39" spans="1:6" ht="15.75">
      <c r="A39"/>
      <c r="B39"/>
      <c r="C39"/>
      <c r="D39"/>
      <c r="E39" s="31"/>
      <c r="F39" s="39"/>
    </row>
    <row r="40" spans="2:6" ht="15.75">
      <c r="B40" s="2" t="s">
        <v>55</v>
      </c>
      <c r="C40" s="23" t="s">
        <v>44</v>
      </c>
      <c r="D40" s="2">
        <v>24</v>
      </c>
      <c r="E40" s="30">
        <v>30</v>
      </c>
      <c r="F40" s="37">
        <v>0</v>
      </c>
    </row>
    <row r="41" spans="2:6" ht="15.75">
      <c r="B41" s="2" t="s">
        <v>48</v>
      </c>
      <c r="C41" s="23" t="s">
        <v>21</v>
      </c>
      <c r="D41" s="2">
        <v>15</v>
      </c>
      <c r="E41" s="30">
        <v>30</v>
      </c>
      <c r="F41" s="37">
        <v>0</v>
      </c>
    </row>
    <row r="42" spans="2:6" ht="15.75">
      <c r="B42" s="2" t="s">
        <v>54</v>
      </c>
      <c r="C42" s="23" t="s">
        <v>22</v>
      </c>
      <c r="D42" s="2">
        <v>18</v>
      </c>
      <c r="E42" s="30">
        <v>36</v>
      </c>
      <c r="F42" s="37">
        <v>0</v>
      </c>
    </row>
    <row r="43" spans="1:4" ht="15.75">
      <c r="A43" s="10"/>
      <c r="B43" s="10"/>
      <c r="C43" s="10"/>
      <c r="D43" s="10"/>
    </row>
    <row r="44" spans="1:6" ht="15.75">
      <c r="A44"/>
      <c r="B44"/>
      <c r="C44"/>
      <c r="D44"/>
      <c r="E44" s="31"/>
      <c r="F44" s="39"/>
    </row>
    <row r="45" spans="2:6" ht="15.75">
      <c r="B45" s="2" t="s">
        <v>48</v>
      </c>
      <c r="C45" s="23" t="s">
        <v>34</v>
      </c>
      <c r="D45" s="2">
        <v>20</v>
      </c>
      <c r="E45" s="30">
        <v>30</v>
      </c>
      <c r="F45" s="37">
        <v>0.3</v>
      </c>
    </row>
    <row r="46" spans="2:6" ht="15.75">
      <c r="B46" s="2" t="s">
        <v>54</v>
      </c>
      <c r="C46" s="23" t="s">
        <v>35</v>
      </c>
      <c r="D46" s="2">
        <v>16.4</v>
      </c>
      <c r="E46" s="30">
        <v>32.8</v>
      </c>
      <c r="F46" s="37">
        <v>0.3</v>
      </c>
    </row>
    <row r="47" spans="1:4" ht="15.75">
      <c r="A47" s="10"/>
      <c r="B47" s="10"/>
      <c r="C47" s="10"/>
      <c r="D47" s="10"/>
    </row>
    <row r="48" spans="1:6" ht="15.75">
      <c r="A48"/>
      <c r="B48"/>
      <c r="C48"/>
      <c r="D48"/>
      <c r="E48" s="31"/>
      <c r="F48" s="39"/>
    </row>
    <row r="49" spans="1:8" s="5" customFormat="1" ht="15.75">
      <c r="A49" s="29"/>
      <c r="B49" s="29"/>
      <c r="C49" s="29"/>
      <c r="D49" s="29"/>
      <c r="E49" s="30" t="s">
        <v>56</v>
      </c>
      <c r="F49" s="37"/>
      <c r="G49" s="29">
        <v>20</v>
      </c>
      <c r="H49" s="29">
        <f>30-G49</f>
        <v>10</v>
      </c>
    </row>
    <row r="50" ht="15.75">
      <c r="A50"/>
    </row>
  </sheetData>
  <dataValidations count="1" disablePrompts="1">
    <dataValidation type="list" allowBlank="1" showInputMessage="1" showErrorMessage="1" sqref="E49:F49">
      <formula1>"Default, SFH"</formula1>
    </dataValidation>
  </dataValidations>
  <hyperlinks>
    <hyperlink ref="C29" r:id="rId1" display="https://www.amazon.com/Vitargo-Pre-Intra-Post-Supplement-Unflavored-Servings/dp/B00LLIO1XW/ref=sr_1_2_s_it?s=hpc&amp;ie=UTF8&amp;qid=1483407073&amp;sr=1-2&amp;keywords=vitargo+s2"/>
    <hyperlink ref="C33" r:id="rId2" display="https://www.amazon.com/Optimum-Nutrition-ZMA-180-Capsules/dp/B000GIQS02/ref=pd_sim_121_4?_encoding=UTF8&amp;pd_rd_i=B000GIQS02&amp;pd_rd_r=E1J38KDAMW2AQS124H4E&amp;pd_rd_w=3NOp7&amp;pd_rd_wg=XhFmm&amp;refRID=E1J38KDAMW2AQS124H4E&amp;th=1"/>
    <hyperlink ref="C35" r:id="rId3" display="https://www.amazon.com/Natures-Bounty-Strength-One-Per-Odorless/dp/B00225UVDC/ref=sr_1_2_s_it?s=hpc&amp;ie=UTF8&amp;qid=1483373630&amp;sr=1-2&amp;keywords=natures%2Bbounty%2Bfish%2Boil%2B1400mg&amp;th=1"/>
    <hyperlink ref="C36" r:id="rId4" display="https://www.amazon.com/Nordic-Naturals-Ultimate-Support-Healthy/dp/B015RZ8AN6/ref=sr_1_2_s_it?s=hpc&amp;ie=UTF8&amp;qid=1483373377&amp;sr=1-2&amp;keywords=Nordic%2BNaturals%2BUltimate%2BOmega%2Bfish%2Boil&amp;th=1"/>
    <hyperlink ref="C41" r:id="rId5" display="https://www.sfh.com/shop/whey-protein/recovery.html"/>
    <hyperlink ref="C42" r:id="rId6" display="https://www.sfh.com/push-1166.html"/>
    <hyperlink ref="C40" r:id="rId7" display="https://www.sfh.com/pure-whey.html"/>
    <hyperlink ref="C45" r:id="rId8" display="http://www.arbonne.com/pws/homeoffice/store/amus/product/vanilla-protein-shake-mix-powder-us-2070,1476,272.aspx"/>
    <hyperlink ref="C46" r:id="rId9" display="http://www.arbonne.com/PWS/homeoffice/store/AMUS/product/Prepare-Endure-6260,7712,272.aspx"/>
    <hyperlink ref="C26" r:id="rId10" display="https://www.amazon.com/gp/product/B002DYJ0M0/ref=ox_sc_act_title_1?ie=UTF8&amp;smid=ATVPDKIKX0DER&amp;th=1"/>
    <hyperlink ref="C22" r:id="rId11" display="https://www.amazon.com/Now-Foods-Taurine-1000Mg-100-Capsules/dp/B0019LRYD0/ref=sr_1_3_a_it?ie=UTF8&amp;qid=1483404857&amp;sr=8-3&amp;keywords=taurine&amp;th=1"/>
    <hyperlink ref="C21" r:id="rId12" display="https://www.amazon.com/Caffeine-Pills-tablets-ProLab-Bottles/dp/B00HTH5A9I/ref=sr_1_4_a_it?ie=UTF8&amp;qid=1483404933&amp;sr=8-4&amp;keywords=caffeine+pills+200mg"/>
    <hyperlink ref="C20" r:id="rId13" display="https://www.amazon.com/Now-Foods-D-Ribose-Powder-8-Ounce/dp/B000MLAO4Y?th=1"/>
    <hyperlink ref="C17" r:id="rId14" display="https://www.amazon.com/Optimum-Nutrition-Glutamine-Capsules-1000mg/dp/B002DYIZCQ/ref=pd_sim_121_15?_encoding=UTF8&amp;pd_rd_i=B002DYIZCQ&amp;pd_rd_r=QM272RYD1A0ZQRWMR6VY&amp;pd_rd_w=DaLBI&amp;pd_rd_wg=SLrGc&amp;refRID=QM272RYD1A0ZQRWMR6VY&amp;th=1"/>
    <hyperlink ref="C15" r:id="rId15" display="https://www.amazon.com/Optimum-Nutrition-COQ10-Soft-Count/dp/B01JLPJRU8/ref=sr_1_1_a_it?srs=2597841011&amp;ie=UTF8&amp;qid=1483372182&amp;sr=8-1&amp;keywords=CoQ10"/>
    <hyperlink ref="C14" r:id="rId16" display="https://www.amazon.com/NOW-Foods-Acetyl-L-Carnitine-500mg/dp/B000QSLINE/ref=sr_1_1_a_it?ie=UTF8&amp;qid=1483407145&amp;sr=8-1&amp;keywords=now%2Bfoods%2Bcarnitine&amp;th=1"/>
    <hyperlink ref="C12" r:id="rId17" display="https://www.amazon.com/Optimum-Nutrition-Beta-Alanine-Unflavored-Ounce/dp/B002DYIZP8/ref=pd_sim_121_11?_encoding=UTF8&amp;pd_rd_i=B002DYIZP8&amp;pd_rd_r=DHR3BCNQFKGTPSH69TTD&amp;pd_rd_w=UNGic&amp;pd_rd_wg=RDRbb&amp;psc=1&amp;refRID=DHR3BCNQFKGTPSH69TTD"/>
    <hyperlink ref="C8" r:id="rId18" display="https://www.amazon.com/Optimum-Nutrition-Instantized-5000mg-Unflavored/dp/B002DYIZIU/ref=zg_bs_6939949011_2?_encoding=UTF8&amp;refRID=XH8YY52YCZAZBRFCPJ01&amp;th=1"/>
    <hyperlink ref="C6" r:id="rId19" display="https://www.amazon.com/Optimum-Nutrition-Creatine-Powder-Unflavored/dp/B002DYIZEO/ref=pd_bxgy_121_img_2?_encoding=UTF8&amp;pd_rd_i=B002DYIZEO&amp;pd_rd_r=3JC0WW01X2A2NE2VJV9F&amp;pd_rd_w=DffAE&amp;pd_rd_wg=IZyjj&amp;refRID=3JC0WW01X2A2NE2VJV9F&amp;th=1"/>
    <hyperlink ref="C2" r:id="rId20" display="https://www.amazon.com/Optimum-Nutrition-Standard-Double-Chocolate/dp/B000GIQT2O/ref=pd_sim_121_2?_encoding=UTF8&amp;pd_rd_i=B000QSNYGI&amp;pd_rd_r=T5Z7CBGFF4XER095NZPJ&amp;pd_rd_w=wUZ4S&amp;pd_rd_wg=CsyRU&amp;refRID=T5Z7CBGFF4XER095NZPJ&amp;th=1"/>
    <hyperlink ref="C3" r:id="rId21" display="https://www.sfh.com/pure-whey.html"/>
    <hyperlink ref="C4" r:id="rId22" display="http://www.arbonne.com/pws/homeoffice/store/amus/product/vanilla-protein-shake-mix-powder-us-2070,1476,272.aspx"/>
    <hyperlink ref="C18" r:id="rId23" display="https://www.amazon.com/Optimum-Nutrition-Glutamine-Capsules-1000mg/dp/B002DYIZCQ/ref=pd_sim_121_15?_encoding=UTF8&amp;pd_rd_i=B002DYIZCQ&amp;pd_rd_r=QM272RYD1A0ZQRWMR6VY&amp;pd_rd_w=DaLBI&amp;pd_rd_wg=SLrGc&amp;refRID=QM272RYD1A0ZQRWMR6VY&amp;th=1"/>
    <hyperlink ref="C27" r:id="rId24" display="https://www.ascentprotein.com/products/native-fuel-micellar-casein-protein-powder-blend-c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11.00390625" defaultRowHeight="15.75"/>
  <cols>
    <col min="1" max="1" width="9.125" style="2" customWidth="1"/>
    <col min="2" max="2" width="14.625" style="2" customWidth="1"/>
    <col min="3" max="3" width="7.00390625" style="2" customWidth="1"/>
    <col min="4" max="4" width="19.625" style="2" customWidth="1"/>
    <col min="5" max="5" width="12.00390625" style="2" customWidth="1"/>
    <col min="6" max="7" width="10.00390625" style="2" customWidth="1"/>
    <col min="8" max="8" width="10.00390625" style="48" customWidth="1"/>
    <col min="9" max="9" width="8.625" style="2" customWidth="1"/>
    <col min="10" max="10" width="9.375" style="2" customWidth="1"/>
    <col min="11" max="11" width="10.50390625" style="24" customWidth="1"/>
    <col min="12" max="12" width="9.875" style="2" customWidth="1"/>
    <col min="13" max="13" width="10.00390625" style="54" customWidth="1"/>
    <col min="14" max="14" width="10.875" style="2" customWidth="1"/>
    <col min="15" max="15" width="10.875" style="12" customWidth="1"/>
    <col min="16" max="16" width="8.625" style="2" customWidth="1"/>
    <col min="17" max="17" width="9.00390625" style="2" customWidth="1"/>
    <col min="18" max="18" width="8.375" style="2" customWidth="1"/>
    <col min="19" max="19" width="7.50390625" style="2" customWidth="1"/>
    <col min="20" max="20" width="8.50390625" style="2" customWidth="1"/>
    <col min="21" max="21" width="36.125" style="1" customWidth="1"/>
    <col min="22" max="22" width="95.125" style="0" customWidth="1"/>
  </cols>
  <sheetData>
    <row r="1" spans="1:22" s="16" customFormat="1" ht="15.75">
      <c r="A1" s="15" t="s">
        <v>49</v>
      </c>
      <c r="B1" s="15" t="s">
        <v>0</v>
      </c>
      <c r="C1" s="15" t="s">
        <v>99</v>
      </c>
      <c r="D1" s="15" t="s">
        <v>16</v>
      </c>
      <c r="E1" s="15" t="s">
        <v>92</v>
      </c>
      <c r="F1" s="15" t="s">
        <v>1</v>
      </c>
      <c r="G1" s="15" t="s">
        <v>61</v>
      </c>
      <c r="H1" s="41" t="s">
        <v>74</v>
      </c>
      <c r="I1" s="15" t="s">
        <v>2</v>
      </c>
      <c r="J1" s="15" t="s">
        <v>52</v>
      </c>
      <c r="K1" s="25" t="s">
        <v>51</v>
      </c>
      <c r="L1" s="15" t="s">
        <v>62</v>
      </c>
      <c r="M1" s="56" t="s">
        <v>89</v>
      </c>
      <c r="N1" s="15" t="s">
        <v>63</v>
      </c>
      <c r="O1" s="59" t="s">
        <v>90</v>
      </c>
      <c r="P1" s="15" t="s">
        <v>36</v>
      </c>
      <c r="Q1" s="15" t="s">
        <v>37</v>
      </c>
      <c r="R1" s="15" t="s">
        <v>24</v>
      </c>
      <c r="S1" s="15" t="s">
        <v>38</v>
      </c>
      <c r="T1" s="15" t="s">
        <v>8</v>
      </c>
      <c r="U1" s="18" t="s">
        <v>57</v>
      </c>
      <c r="V1" s="16" t="s">
        <v>3</v>
      </c>
    </row>
    <row r="2" spans="1:22" ht="15.75">
      <c r="A2" s="2">
        <v>1</v>
      </c>
      <c r="B2" s="2" t="s">
        <v>8</v>
      </c>
      <c r="C2" s="2" t="s">
        <v>100</v>
      </c>
      <c r="D2" s="23" t="s">
        <v>18</v>
      </c>
      <c r="E2" s="2" t="s">
        <v>93</v>
      </c>
      <c r="F2" s="4">
        <v>89.59</v>
      </c>
      <c r="G2" s="51">
        <f>Input!F2</f>
        <v>0</v>
      </c>
      <c r="H2" s="50">
        <f>I2/((L2*L54)+(N2*N54))</f>
        <v>5.84</v>
      </c>
      <c r="I2" s="17">
        <v>146</v>
      </c>
      <c r="J2" s="17">
        <v>24</v>
      </c>
      <c r="K2" s="52">
        <f>IF(K54="SFH",30,Input!E2)</f>
        <v>30</v>
      </c>
      <c r="L2" s="17">
        <f>K2/J2</f>
        <v>1.25</v>
      </c>
      <c r="M2" s="54">
        <f>((F2/I2)*$L$54*L2*(100%-G2))</f>
        <v>15.340753424657535</v>
      </c>
      <c r="N2" s="17">
        <v>0</v>
      </c>
      <c r="O2" s="12">
        <f>((F2/I2)*$N$54*N2*(100%-G2))</f>
        <v>0</v>
      </c>
      <c r="P2" s="2">
        <f>120*L2</f>
        <v>150</v>
      </c>
      <c r="Q2" s="2">
        <f>1*L2</f>
        <v>1.25</v>
      </c>
      <c r="R2" s="2">
        <f>3*L2</f>
        <v>3.75</v>
      </c>
      <c r="S2" s="2">
        <f>1*L2</f>
        <v>1.25</v>
      </c>
      <c r="T2" s="2">
        <f>J2*L2</f>
        <v>30</v>
      </c>
      <c r="V2" t="s">
        <v>46</v>
      </c>
    </row>
    <row r="3" spans="1:22" ht="15.75">
      <c r="A3" s="2">
        <v>1</v>
      </c>
      <c r="B3" s="2" t="s">
        <v>8</v>
      </c>
      <c r="C3" s="2" t="s">
        <v>100</v>
      </c>
      <c r="D3" s="23" t="s">
        <v>44</v>
      </c>
      <c r="E3" s="2" t="s">
        <v>93</v>
      </c>
      <c r="F3" s="4">
        <f>F45</f>
        <v>49.99</v>
      </c>
      <c r="G3" s="51">
        <f>Input!F3</f>
        <v>0</v>
      </c>
      <c r="H3" s="49" t="e">
        <f>I3/((L3*L54)+(N3*N54))</f>
        <v>#DIV/0!</v>
      </c>
      <c r="I3" s="17">
        <f>I45</f>
        <v>32</v>
      </c>
      <c r="J3" s="17">
        <f>J45</f>
        <v>24</v>
      </c>
      <c r="K3" s="52">
        <f>IF(K54="SFH",0,Input!E3)</f>
        <v>0</v>
      </c>
      <c r="L3" s="17">
        <f>K3/J3</f>
        <v>0</v>
      </c>
      <c r="M3" s="54">
        <f>((F3/I3)*$L$54*L3*(100%-G3))</f>
        <v>0</v>
      </c>
      <c r="N3" s="17">
        <f>N45</f>
        <v>0</v>
      </c>
      <c r="O3" s="12">
        <f>((F3/I3)*$N$54*N3*(100%-G3))</f>
        <v>0</v>
      </c>
      <c r="P3" s="2">
        <f>P45</f>
        <v>150</v>
      </c>
      <c r="Q3" s="2">
        <f>Q45</f>
        <v>1.25</v>
      </c>
      <c r="R3" s="2">
        <f>R45</f>
        <v>3.75</v>
      </c>
      <c r="S3" s="2">
        <f>S45</f>
        <v>0</v>
      </c>
      <c r="T3" s="2">
        <f>T45</f>
        <v>30</v>
      </c>
      <c r="V3" s="1" t="str">
        <f>V45</f>
        <v>Grass fed/non-GMO whey</v>
      </c>
    </row>
    <row r="4" spans="1:22" ht="15.75">
      <c r="A4" s="2">
        <v>1</v>
      </c>
      <c r="B4" s="2" t="s">
        <v>8</v>
      </c>
      <c r="C4" s="2" t="s">
        <v>100</v>
      </c>
      <c r="D4" s="23" t="s">
        <v>34</v>
      </c>
      <c r="E4" s="2" t="s">
        <v>93</v>
      </c>
      <c r="F4" s="4">
        <f>F50</f>
        <v>74</v>
      </c>
      <c r="G4" s="51">
        <f>Input!F4</f>
        <v>0.3</v>
      </c>
      <c r="H4" s="49" t="e">
        <f>I4/((L4*L54)+(N4*N54))</f>
        <v>#DIV/0!</v>
      </c>
      <c r="I4" s="17">
        <f>I50</f>
        <v>30</v>
      </c>
      <c r="J4" s="17">
        <f>J50</f>
        <v>20</v>
      </c>
      <c r="K4" s="52">
        <f>IF(K54="SFH",0,Input!E4)</f>
        <v>0</v>
      </c>
      <c r="L4" s="17">
        <f>K4/J4</f>
        <v>0</v>
      </c>
      <c r="M4" s="54">
        <f>((F4/I4)*$L$54*L4*(100%-G4))</f>
        <v>0</v>
      </c>
      <c r="N4" s="17">
        <f>N50</f>
        <v>0</v>
      </c>
      <c r="O4" s="12">
        <f>((F4/I4)*$N$54*N4*(100%-G4))</f>
        <v>0</v>
      </c>
      <c r="P4" s="3">
        <f>P50</f>
        <v>240</v>
      </c>
      <c r="Q4" s="3">
        <f>Q50</f>
        <v>4.5</v>
      </c>
      <c r="R4" s="3">
        <f>R50</f>
        <v>21</v>
      </c>
      <c r="S4" s="3">
        <f>S50</f>
        <v>13.5</v>
      </c>
      <c r="T4" s="2">
        <f>T50</f>
        <v>30</v>
      </c>
      <c r="V4" s="1" t="str">
        <f>V50</f>
        <v>Vegan/non-soy, lots of vitamins, not even close to enough CoQ10</v>
      </c>
    </row>
    <row r="5" spans="5:15" s="36" customFormat="1" ht="15.75">
      <c r="E5" s="2"/>
      <c r="H5" s="43"/>
      <c r="I5" s="53"/>
      <c r="J5" s="53"/>
      <c r="K5" s="53"/>
      <c r="L5" s="53"/>
      <c r="M5" s="57"/>
      <c r="N5" s="53"/>
      <c r="O5" s="60"/>
    </row>
    <row r="6" spans="1:21" ht="15.75">
      <c r="A6" s="2">
        <v>1</v>
      </c>
      <c r="B6" s="2" t="s">
        <v>7</v>
      </c>
      <c r="C6" s="23" t="s">
        <v>100</v>
      </c>
      <c r="D6" s="23" t="s">
        <v>18</v>
      </c>
      <c r="E6" s="2" t="s">
        <v>93</v>
      </c>
      <c r="F6" s="4">
        <v>14.43</v>
      </c>
      <c r="G6" s="51">
        <f>Input!F6</f>
        <v>0.05</v>
      </c>
      <c r="H6" s="49">
        <f>I6/((L6*L54)+(N6*N54))</f>
        <v>3.8</v>
      </c>
      <c r="I6" s="17">
        <v>114</v>
      </c>
      <c r="J6" s="17">
        <v>5</v>
      </c>
      <c r="K6" s="52">
        <f>IF(K54="SFH",5,Input!E6)</f>
        <v>5</v>
      </c>
      <c r="L6" s="17">
        <f>K6/J6</f>
        <v>1</v>
      </c>
      <c r="M6" s="54">
        <f>((F6/I6)*$L$54*L6*(100%-G6))</f>
        <v>2.4049999999999994</v>
      </c>
      <c r="N6" s="17">
        <f>L6</f>
        <v>1</v>
      </c>
      <c r="O6" s="12">
        <f>((F6/I6)*$N$54*N6*(100%-G6))</f>
        <v>1.2024999999999997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1" t="s">
        <v>58</v>
      </c>
    </row>
    <row r="7" spans="4:14" ht="15.75">
      <c r="D7" s="23"/>
      <c r="E7" s="23"/>
      <c r="F7" s="4"/>
      <c r="G7" s="51"/>
      <c r="H7" s="49"/>
      <c r="I7" s="17"/>
      <c r="J7" s="17"/>
      <c r="K7" s="52"/>
      <c r="L7" s="17"/>
      <c r="N7" s="17"/>
    </row>
    <row r="8" spans="1:22" ht="15.75">
      <c r="A8" s="2">
        <v>2</v>
      </c>
      <c r="B8" s="2" t="s">
        <v>82</v>
      </c>
      <c r="C8" s="23" t="s">
        <v>100</v>
      </c>
      <c r="D8" s="23" t="s">
        <v>18</v>
      </c>
      <c r="E8" s="2" t="s">
        <v>93</v>
      </c>
      <c r="F8" s="4">
        <v>22.99</v>
      </c>
      <c r="G8" s="51">
        <f>Input!F8</f>
        <v>0.05</v>
      </c>
      <c r="H8" s="49" t="e">
        <f>I8/((L8*L54)+(N8*N54))</f>
        <v>#DIV/0!</v>
      </c>
      <c r="I8" s="17">
        <v>60</v>
      </c>
      <c r="J8" s="17">
        <v>5</v>
      </c>
      <c r="K8" s="52">
        <f>IF(K54="SFH",10,Input!E8)</f>
        <v>0</v>
      </c>
      <c r="L8" s="17">
        <f>K8/J8</f>
        <v>0</v>
      </c>
      <c r="M8" s="54">
        <f>((F8/I8)*$L$54*L8*(100%-G8))</f>
        <v>0</v>
      </c>
      <c r="N8" s="17">
        <f>L8</f>
        <v>0</v>
      </c>
      <c r="O8" s="12">
        <f>((F8/I8)*$N$54*N8*(100%-G8))</f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V8" t="s">
        <v>4</v>
      </c>
    </row>
    <row r="9" spans="1:20" ht="15.75">
      <c r="A9" s="2">
        <v>2</v>
      </c>
      <c r="B9" s="2" t="s">
        <v>83</v>
      </c>
      <c r="C9" s="23" t="s">
        <v>100</v>
      </c>
      <c r="D9" s="23" t="s">
        <v>18</v>
      </c>
      <c r="E9" s="2" t="s">
        <v>94</v>
      </c>
      <c r="F9" s="4">
        <v>26.09</v>
      </c>
      <c r="G9" s="51">
        <f>Input!F9</f>
        <v>0.05</v>
      </c>
      <c r="H9" s="50" t="e">
        <f>I9/((L9*L54)+(N9*N54))</f>
        <v>#DIV/0!</v>
      </c>
      <c r="I9" s="17">
        <v>90</v>
      </c>
      <c r="J9" s="69">
        <v>1</v>
      </c>
      <c r="K9" s="71">
        <f>IF(K55="SFH",0,Input!E9)</f>
        <v>0</v>
      </c>
      <c r="L9" s="69">
        <f>K9/J9</f>
        <v>0</v>
      </c>
      <c r="M9" s="54">
        <f>((F9/I9)*$L$54*L9*(100%-G9))</f>
        <v>0</v>
      </c>
      <c r="N9" s="69">
        <f>L9</f>
        <v>0</v>
      </c>
      <c r="O9" s="12">
        <f>((F9/I9)*$N$54*N9*(100%-G9))</f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ht="15.75">
      <c r="A10" s="2">
        <v>2</v>
      </c>
      <c r="B10" s="2" t="s">
        <v>83</v>
      </c>
      <c r="C10" s="23" t="s">
        <v>100</v>
      </c>
      <c r="D10" s="23" t="s">
        <v>91</v>
      </c>
      <c r="E10" s="2" t="s">
        <v>93</v>
      </c>
      <c r="F10" s="4">
        <v>47.96</v>
      </c>
      <c r="G10" s="51">
        <v>0</v>
      </c>
      <c r="H10" s="50">
        <f>I10/((L10*L54)+(N10*N54))</f>
        <v>11.11111111111111</v>
      </c>
      <c r="I10" s="17">
        <v>1000</v>
      </c>
      <c r="J10" s="69">
        <v>1</v>
      </c>
      <c r="K10" s="71">
        <f>IF(K56="SFH",0,Input!E10)</f>
        <v>3</v>
      </c>
      <c r="L10" s="69">
        <f>K10/J10</f>
        <v>3</v>
      </c>
      <c r="M10" s="54">
        <f>((F10/I10)*$L$54*L10*(100%-G10))</f>
        <v>2.8776</v>
      </c>
      <c r="N10" s="17">
        <f>L10</f>
        <v>3</v>
      </c>
      <c r="O10" s="12">
        <f>((F10/I10)*$N$54*N10*(100%-G10))</f>
        <v>1.4388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4:14" ht="15.75">
      <c r="D11" s="23"/>
      <c r="E11" s="23"/>
      <c r="F11" s="4"/>
      <c r="G11" s="51"/>
      <c r="H11" s="49"/>
      <c r="I11" s="17"/>
      <c r="J11" s="17"/>
      <c r="K11" s="71"/>
      <c r="L11" s="17"/>
      <c r="N11" s="17"/>
    </row>
    <row r="12" spans="1:22" ht="15.75">
      <c r="A12" s="2">
        <v>2</v>
      </c>
      <c r="B12" s="2" t="s">
        <v>5</v>
      </c>
      <c r="C12" s="2" t="s">
        <v>100</v>
      </c>
      <c r="D12" s="23" t="s">
        <v>18</v>
      </c>
      <c r="E12" s="2" t="s">
        <v>93</v>
      </c>
      <c r="F12" s="4">
        <v>20.69</v>
      </c>
      <c r="G12" s="51">
        <f>Input!F12</f>
        <v>0.05</v>
      </c>
      <c r="H12" s="49">
        <f>I12/((L12*L54)+(N12*N54))</f>
        <v>1.6875</v>
      </c>
      <c r="I12" s="17">
        <v>75</v>
      </c>
      <c r="J12" s="17">
        <v>2.7</v>
      </c>
      <c r="K12" s="71">
        <f>IF(K54="SFH",4,Input!E12)</f>
        <v>4</v>
      </c>
      <c r="L12" s="17">
        <f>K12/J12</f>
        <v>1.4814814814814814</v>
      </c>
      <c r="M12" s="54">
        <f>((F12/I12)*$L$54*L12*(100%-G12))</f>
        <v>7.7651358024691355</v>
      </c>
      <c r="N12" s="17">
        <f>L12</f>
        <v>1.4814814814814814</v>
      </c>
      <c r="O12" s="12">
        <f>((F12/I12)*$N$54*N12*(100%-G12))</f>
        <v>3.8825679012345677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1" t="s">
        <v>59</v>
      </c>
      <c r="V12" t="s">
        <v>11</v>
      </c>
    </row>
    <row r="13" spans="5:15" s="36" customFormat="1" ht="15.75">
      <c r="E13" s="2"/>
      <c r="H13" s="49"/>
      <c r="I13" s="53"/>
      <c r="J13" s="53"/>
      <c r="K13" s="53"/>
      <c r="L13" s="53"/>
      <c r="M13" s="57"/>
      <c r="N13" s="53"/>
      <c r="O13" s="60"/>
    </row>
    <row r="14" spans="1:20" ht="15.75">
      <c r="A14" s="2">
        <v>3</v>
      </c>
      <c r="B14" s="2" t="s">
        <v>31</v>
      </c>
      <c r="C14" s="2" t="s">
        <v>100</v>
      </c>
      <c r="D14" s="23" t="s">
        <v>29</v>
      </c>
      <c r="E14" s="2" t="s">
        <v>94</v>
      </c>
      <c r="F14" s="4">
        <v>23.26</v>
      </c>
      <c r="G14" s="51">
        <f>Input!F14</f>
        <v>0</v>
      </c>
      <c r="H14" s="49" t="e">
        <f>I14/((L14*L54)+(N14*N54))</f>
        <v>#DIV/0!</v>
      </c>
      <c r="I14" s="17">
        <v>100</v>
      </c>
      <c r="J14" s="17">
        <v>0.5</v>
      </c>
      <c r="K14" s="71">
        <f>Input!E14</f>
        <v>0</v>
      </c>
      <c r="L14" s="69">
        <f>K14/J14</f>
        <v>0</v>
      </c>
      <c r="M14" s="54">
        <f>((F14/I14)*$L$54*L14*(100%-G14))</f>
        <v>0</v>
      </c>
      <c r="N14" s="69">
        <v>0</v>
      </c>
      <c r="O14" s="12">
        <f>((F14/I14)*$N$54*N14*(100%-G14))</f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2" ht="15.75">
      <c r="A15" s="2">
        <v>3</v>
      </c>
      <c r="B15" s="2" t="s">
        <v>6</v>
      </c>
      <c r="C15" s="2" t="s">
        <v>100</v>
      </c>
      <c r="D15" s="23" t="s">
        <v>18</v>
      </c>
      <c r="E15" s="2" t="s">
        <v>94</v>
      </c>
      <c r="F15" s="4">
        <v>20.93</v>
      </c>
      <c r="G15" s="51">
        <f>Input!F15</f>
        <v>0.05</v>
      </c>
      <c r="H15" s="50">
        <f>I15/((L15*L54)+(N15*N54))</f>
        <v>2.142857142857143</v>
      </c>
      <c r="I15" s="17">
        <v>150</v>
      </c>
      <c r="J15" s="17">
        <v>0.1</v>
      </c>
      <c r="K15" s="52">
        <f>IF(K54="SFH",1,Input!E15)</f>
        <v>0.3</v>
      </c>
      <c r="L15" s="69">
        <f>K15/J15</f>
        <v>2.9999999999999996</v>
      </c>
      <c r="M15" s="54">
        <f>((F15/I15)*$L$54*L15*(100%-G15))</f>
        <v>7.953399999999998</v>
      </c>
      <c r="N15" s="17">
        <v>1</v>
      </c>
      <c r="O15" s="12">
        <f>((F15/I15)*$N$54*N15*(100%-G15))</f>
        <v>1.3255666666666666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V15" t="s">
        <v>33</v>
      </c>
    </row>
    <row r="16" spans="4:14" ht="15.75">
      <c r="D16" s="23"/>
      <c r="E16" s="23"/>
      <c r="F16" s="4"/>
      <c r="G16" s="51"/>
      <c r="H16" s="50"/>
      <c r="I16" s="17"/>
      <c r="J16" s="17"/>
      <c r="K16" s="52"/>
      <c r="L16" s="17"/>
      <c r="N16" s="17"/>
    </row>
    <row r="17" spans="1:20" ht="15.75">
      <c r="A17" s="2">
        <v>3</v>
      </c>
      <c r="B17" s="2" t="s">
        <v>28</v>
      </c>
      <c r="C17" s="2" t="s">
        <v>100</v>
      </c>
      <c r="D17" s="23" t="s">
        <v>18</v>
      </c>
      <c r="E17" s="2" t="s">
        <v>94</v>
      </c>
      <c r="F17" s="4">
        <v>6.84</v>
      </c>
      <c r="G17" s="51">
        <f>Input!F17</f>
        <v>0</v>
      </c>
      <c r="H17" s="50" t="e">
        <f>I17/((L17*L54)+(N17*N54))</f>
        <v>#DIV/0!</v>
      </c>
      <c r="I17" s="17">
        <v>60</v>
      </c>
      <c r="J17" s="69">
        <v>1</v>
      </c>
      <c r="K17" s="71">
        <f>IF(K54="SFH",1,Input!E17)</f>
        <v>0</v>
      </c>
      <c r="L17" s="69">
        <f>K17/J17</f>
        <v>0</v>
      </c>
      <c r="M17" s="54">
        <f>((F17/I17)*$L$54*L17*(100%-G17))</f>
        <v>0</v>
      </c>
      <c r="N17" s="69">
        <v>0</v>
      </c>
      <c r="O17" s="12">
        <f>((F17/I17)*$N$54*N17*(100%-G17))</f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ht="15.75">
      <c r="A18" s="2">
        <v>3</v>
      </c>
      <c r="B18" s="2" t="s">
        <v>28</v>
      </c>
      <c r="C18" s="2" t="s">
        <v>100</v>
      </c>
      <c r="D18" s="23" t="s">
        <v>18</v>
      </c>
      <c r="E18" s="2" t="s">
        <v>93</v>
      </c>
      <c r="F18" s="4">
        <v>40.49</v>
      </c>
      <c r="G18" s="51">
        <f>Input!F20</f>
        <v>0</v>
      </c>
      <c r="H18" s="50" t="e">
        <f>I18/((L18*L54)+(N18*N54))</f>
        <v>#DIV/0!</v>
      </c>
      <c r="I18" s="17">
        <v>200</v>
      </c>
      <c r="J18" s="69">
        <v>5</v>
      </c>
      <c r="K18" s="71">
        <f>IF(K55="SFH",0,Input!E18)</f>
        <v>0</v>
      </c>
      <c r="L18" s="69">
        <f>K18/J18</f>
        <v>0</v>
      </c>
      <c r="M18" s="54">
        <f>((F18/I18)*$L$54*L18*(100%-G18))</f>
        <v>0</v>
      </c>
      <c r="N18" s="69">
        <v>0</v>
      </c>
      <c r="O18" s="12">
        <f>((F18/I18)*$N$54*N18*(100%-G18))</f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4:14" ht="15.75">
      <c r="D19" s="23"/>
      <c r="E19" s="23"/>
      <c r="F19" s="4"/>
      <c r="G19" s="51"/>
      <c r="H19" s="50"/>
      <c r="I19" s="17"/>
      <c r="J19" s="17"/>
      <c r="K19" s="52"/>
      <c r="L19" s="17"/>
      <c r="N19" s="17"/>
    </row>
    <row r="20" spans="1:20" ht="15.75">
      <c r="A20" s="2">
        <v>3</v>
      </c>
      <c r="B20" s="2" t="s">
        <v>32</v>
      </c>
      <c r="C20" s="2" t="s">
        <v>100</v>
      </c>
      <c r="D20" s="23" t="s">
        <v>29</v>
      </c>
      <c r="E20" s="2" t="s">
        <v>93</v>
      </c>
      <c r="F20" s="4">
        <v>23.18</v>
      </c>
      <c r="G20" s="51">
        <f>Input!F20</f>
        <v>0</v>
      </c>
      <c r="H20" s="49" t="e">
        <f>I20/((L20*L54)+(N20*N54))</f>
        <v>#DIV/0!</v>
      </c>
      <c r="I20" s="17">
        <v>45</v>
      </c>
      <c r="J20" s="17">
        <v>3.3</v>
      </c>
      <c r="K20" s="71">
        <f>IF(K54="SFH",3.6,Input!E20)</f>
        <v>0</v>
      </c>
      <c r="L20" s="69">
        <f>K20/J20</f>
        <v>0</v>
      </c>
      <c r="M20" s="54">
        <f>((F20/I20)*$L$54*L20*(100%-G20))</f>
        <v>0</v>
      </c>
      <c r="N20" s="69">
        <v>0</v>
      </c>
      <c r="O20" s="12">
        <f>((F20/I20)*$N$54*N20*(100%-G20))</f>
        <v>0</v>
      </c>
      <c r="P20" s="2">
        <v>13.3</v>
      </c>
      <c r="Q20" s="2">
        <v>0</v>
      </c>
      <c r="R20" s="2">
        <v>0</v>
      </c>
      <c r="S20" s="2">
        <v>0</v>
      </c>
      <c r="T20" s="2">
        <v>0</v>
      </c>
    </row>
    <row r="21" spans="1:21" ht="15.75">
      <c r="A21" s="2">
        <v>3</v>
      </c>
      <c r="B21" s="2" t="s">
        <v>30</v>
      </c>
      <c r="C21" s="2" t="s">
        <v>100</v>
      </c>
      <c r="D21" s="23" t="s">
        <v>30</v>
      </c>
      <c r="E21" s="2" t="s">
        <v>94</v>
      </c>
      <c r="F21" s="4">
        <v>16.09</v>
      </c>
      <c r="G21" s="51">
        <f>Input!F21</f>
        <v>0</v>
      </c>
      <c r="H21" s="49" t="e">
        <f>I21/((L21*L54)+(N21*N54))</f>
        <v>#DIV/0!</v>
      </c>
      <c r="I21" s="17">
        <v>100</v>
      </c>
      <c r="J21" s="17">
        <v>0.2</v>
      </c>
      <c r="K21" s="71">
        <f>IF(K54="SFH",0.2,Input!E21)</f>
        <v>0</v>
      </c>
      <c r="L21" s="69">
        <f>K21/J21</f>
        <v>0</v>
      </c>
      <c r="M21" s="54">
        <f>((F21/I21)*$L$54*L21*(100%-G21))</f>
        <v>0</v>
      </c>
      <c r="N21" s="69">
        <v>0</v>
      </c>
      <c r="O21" s="12">
        <f>((F21/I21)*$N$54*N21*(100%-G21))</f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1" t="s">
        <v>59</v>
      </c>
    </row>
    <row r="22" spans="1:22" ht="15.75">
      <c r="A22" s="2">
        <v>3</v>
      </c>
      <c r="B22" s="2" t="s">
        <v>9</v>
      </c>
      <c r="C22" s="2" t="s">
        <v>100</v>
      </c>
      <c r="D22" s="23" t="s">
        <v>29</v>
      </c>
      <c r="E22" s="2" t="s">
        <v>94</v>
      </c>
      <c r="F22" s="4">
        <v>6.49</v>
      </c>
      <c r="G22" s="51">
        <f>Input!F22</f>
        <v>0</v>
      </c>
      <c r="H22" s="49" t="e">
        <f>I22/((L22*L54)+(N22*N54))</f>
        <v>#DIV/0!</v>
      </c>
      <c r="I22" s="17">
        <v>100</v>
      </c>
      <c r="J22" s="69">
        <v>1</v>
      </c>
      <c r="K22" s="71">
        <f>IF(K54="SFH",1,Input!E22)</f>
        <v>0</v>
      </c>
      <c r="L22" s="69">
        <f>K22/J22</f>
        <v>0</v>
      </c>
      <c r="M22" s="54">
        <f>((F22/I22)*$L$54*L22*(100%-G22))</f>
        <v>0</v>
      </c>
      <c r="N22" s="69">
        <v>0</v>
      </c>
      <c r="O22" s="12">
        <f>((F22/I22)*$N$54*N22*(100%-G22))</f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V22" t="s">
        <v>42</v>
      </c>
    </row>
    <row r="23" spans="5:15" s="36" customFormat="1" ht="15.75">
      <c r="E23" s="2"/>
      <c r="H23" s="43"/>
      <c r="M23" s="57"/>
      <c r="O23" s="60"/>
    </row>
    <row r="24" spans="1:16" s="6" customFormat="1" ht="15.75">
      <c r="A24" s="10">
        <v>1</v>
      </c>
      <c r="H24" s="44"/>
      <c r="K24" s="44"/>
      <c r="L24" s="55"/>
      <c r="M24" s="55">
        <f>SUMIF($A$2:$A$23,$A24,$M$2:$M$23)</f>
        <v>17.745753424657536</v>
      </c>
      <c r="N24" s="8"/>
      <c r="O24" s="8">
        <f>SUMIF($A$2:$A$23,$A24,$O$2:$O$23)</f>
        <v>1.2024999999999997</v>
      </c>
      <c r="P24" s="14">
        <f>M24+O24</f>
        <v>18.948253424657537</v>
      </c>
    </row>
    <row r="25" spans="1:17" s="6" customFormat="1" ht="15.75">
      <c r="A25" s="10">
        <v>2</v>
      </c>
      <c r="H25" s="44"/>
      <c r="L25" s="55"/>
      <c r="M25" s="55">
        <f>SUMIF($A$2:$A$23,$A25,$M$2:$M$23)</f>
        <v>10.642735802469137</v>
      </c>
      <c r="N25" s="8"/>
      <c r="O25" s="8">
        <f>SUMIF($A$2:$A$23,$A25,$O$2:$O$23)</f>
        <v>5.321367901234568</v>
      </c>
      <c r="P25" s="14">
        <f>M25+O25</f>
        <v>15.964103703703705</v>
      </c>
      <c r="Q25" s="14">
        <f>SUM(P24:P25)</f>
        <v>34.91235712836124</v>
      </c>
    </row>
    <row r="26" spans="1:17" s="6" customFormat="1" ht="15.75">
      <c r="A26" s="10">
        <v>3</v>
      </c>
      <c r="H26" s="44"/>
      <c r="L26" s="55"/>
      <c r="M26" s="55">
        <f>SUMIF($A$2:$A$23,$A26,$M$2:$M$23)</f>
        <v>7.953399999999998</v>
      </c>
      <c r="N26" s="8"/>
      <c r="O26" s="8">
        <f>SUMIF($A$2:$A$23,$A26,$O$2:$O$23)</f>
        <v>1.3255666666666666</v>
      </c>
      <c r="P26" s="14">
        <f>M26+O26</f>
        <v>9.278966666666664</v>
      </c>
      <c r="Q26" s="13"/>
    </row>
    <row r="27" spans="1:21" s="9" customFormat="1" ht="15.75">
      <c r="A27" s="10" t="s">
        <v>64</v>
      </c>
      <c r="B27" s="6"/>
      <c r="C27" s="6"/>
      <c r="D27" s="6"/>
      <c r="E27" s="6"/>
      <c r="F27" s="7"/>
      <c r="G27" s="7"/>
      <c r="H27" s="45"/>
      <c r="I27" s="6"/>
      <c r="J27" s="6"/>
      <c r="K27" s="6"/>
      <c r="L27" s="8"/>
      <c r="M27" s="8">
        <f>SUM(M24:M26)</f>
        <v>36.34188922712667</v>
      </c>
      <c r="N27" s="8"/>
      <c r="O27" s="8">
        <f>SUM(O24:O26)</f>
        <v>7.849434567901234</v>
      </c>
      <c r="P27" s="14">
        <f>M27+O27</f>
        <v>44.191323795027905</v>
      </c>
      <c r="Q27" s="6"/>
      <c r="R27" s="6"/>
      <c r="S27" s="6"/>
      <c r="T27" s="6"/>
      <c r="U27" s="19"/>
    </row>
    <row r="28" spans="5:15" s="36" customFormat="1" ht="15.75">
      <c r="E28" s="2"/>
      <c r="H28" s="43"/>
      <c r="M28" s="57"/>
      <c r="O28" s="60"/>
    </row>
    <row r="29" spans="1:22" ht="15.75">
      <c r="A29" s="2" t="s">
        <v>27</v>
      </c>
      <c r="B29" s="2" t="s">
        <v>50</v>
      </c>
      <c r="C29" s="2" t="s">
        <v>100</v>
      </c>
      <c r="D29" s="23" t="s">
        <v>18</v>
      </c>
      <c r="E29" s="2" t="s">
        <v>93</v>
      </c>
      <c r="F29" s="4">
        <v>53.79</v>
      </c>
      <c r="G29" s="51">
        <f>Input!F26</f>
        <v>0.05</v>
      </c>
      <c r="H29" s="49">
        <f>I29/((L29*L54)+(N29*N54))</f>
        <v>1.1186440677966103</v>
      </c>
      <c r="I29" s="2">
        <v>55</v>
      </c>
      <c r="J29" s="2">
        <v>24</v>
      </c>
      <c r="K29" s="24">
        <f>Input!E26</f>
        <v>35</v>
      </c>
      <c r="L29" s="17">
        <f>K29/J29</f>
        <v>1.4583333333333333</v>
      </c>
      <c r="M29" s="54">
        <f>((F29/I29)*$L$54*L29*(100%-G29))</f>
        <v>27.098749999999995</v>
      </c>
      <c r="N29" s="2">
        <v>2</v>
      </c>
      <c r="O29" s="12">
        <f>((F29/I29)*$N$54*N29*(100%-G29))</f>
        <v>18.581999999999997</v>
      </c>
      <c r="P29" s="2">
        <f>120*L29</f>
        <v>175</v>
      </c>
      <c r="Q29" s="69">
        <f>1*L29</f>
        <v>1.4583333333333333</v>
      </c>
      <c r="R29" s="69">
        <f>3*L29</f>
        <v>4.375</v>
      </c>
      <c r="S29" s="69">
        <f>1*L29</f>
        <v>1.4583333333333333</v>
      </c>
      <c r="T29" s="2">
        <f>J29*L29</f>
        <v>35</v>
      </c>
      <c r="V29" t="s">
        <v>50</v>
      </c>
    </row>
    <row r="30" spans="1:20" s="2" customFormat="1" ht="15.75">
      <c r="A30" s="2" t="s">
        <v>27</v>
      </c>
      <c r="B30" s="2" t="s">
        <v>50</v>
      </c>
      <c r="C30" s="2" t="s">
        <v>100</v>
      </c>
      <c r="D30" s="23" t="s">
        <v>108</v>
      </c>
      <c r="E30" s="2" t="s">
        <v>93</v>
      </c>
      <c r="F30" s="4">
        <v>41.99</v>
      </c>
      <c r="G30" s="51">
        <f>Input!F27</f>
        <v>0</v>
      </c>
      <c r="H30" s="49" t="e">
        <f>I30/((L30*L54)+(N30*N54))</f>
        <v>#DIV/0!</v>
      </c>
      <c r="I30" s="2">
        <v>28</v>
      </c>
      <c r="J30" s="2">
        <v>25</v>
      </c>
      <c r="K30" s="24">
        <f>Input!E27</f>
        <v>0</v>
      </c>
      <c r="L30" s="2">
        <f>K30/J30</f>
        <v>0</v>
      </c>
      <c r="M30" s="54">
        <f>((F30/I30)*$L$54*L30*(100%-G30))</f>
        <v>0</v>
      </c>
      <c r="N30" s="2">
        <v>0</v>
      </c>
      <c r="O30" s="12">
        <f>((F30/I30)*$N$54*N30*(100%-G30))</f>
        <v>0</v>
      </c>
      <c r="P30" s="2">
        <v>130</v>
      </c>
      <c r="Q30" s="2">
        <v>1</v>
      </c>
      <c r="R30" s="2">
        <v>5</v>
      </c>
      <c r="S30" s="2">
        <v>0</v>
      </c>
      <c r="T30" s="2">
        <v>25</v>
      </c>
    </row>
    <row r="31" spans="5:15" s="36" customFormat="1" ht="15.75">
      <c r="E31" s="2"/>
      <c r="H31" s="43"/>
      <c r="M31" s="57"/>
      <c r="O31" s="60"/>
    </row>
    <row r="32" spans="1:22" ht="15.75">
      <c r="A32" s="2" t="s">
        <v>27</v>
      </c>
      <c r="B32" s="2" t="s">
        <v>24</v>
      </c>
      <c r="C32" s="2" t="s">
        <v>100</v>
      </c>
      <c r="D32" s="23" t="s">
        <v>25</v>
      </c>
      <c r="E32" s="2" t="s">
        <v>93</v>
      </c>
      <c r="F32" s="4">
        <v>145.99</v>
      </c>
      <c r="G32" s="51">
        <f>Input!F29</f>
        <v>0</v>
      </c>
      <c r="H32" s="49">
        <f>I32/((L32*L54)+(N32*N54))</f>
        <v>4.4</v>
      </c>
      <c r="I32" s="2">
        <v>66</v>
      </c>
      <c r="J32" s="2">
        <v>70</v>
      </c>
      <c r="K32" s="24">
        <f>Input!E29</f>
        <v>52.5</v>
      </c>
      <c r="L32" s="2">
        <f>K32/J32</f>
        <v>0.75</v>
      </c>
      <c r="M32" s="54">
        <f>((F32/I32)*$L$54*L32*(100%-G32))</f>
        <v>33.17954545454545</v>
      </c>
      <c r="N32" s="2">
        <v>0</v>
      </c>
      <c r="O32" s="12">
        <f>((F32/I32)*$N$54*N32*(100%-G32))</f>
        <v>0</v>
      </c>
      <c r="P32" s="2">
        <f>280*L32</f>
        <v>210</v>
      </c>
      <c r="Q32" s="2">
        <v>0</v>
      </c>
      <c r="R32" s="2">
        <f>70*L32</f>
        <v>52.5</v>
      </c>
      <c r="S32" s="2">
        <v>0</v>
      </c>
      <c r="T32" s="2">
        <v>0</v>
      </c>
      <c r="V32" t="s">
        <v>26</v>
      </c>
    </row>
    <row r="33" spans="1:8" ht="15.75">
      <c r="A33" s="2" t="s">
        <v>27</v>
      </c>
      <c r="B33" s="2" t="s">
        <v>84</v>
      </c>
      <c r="C33" s="2" t="s">
        <v>100</v>
      </c>
      <c r="D33" s="23"/>
      <c r="E33" s="2" t="s">
        <v>94</v>
      </c>
      <c r="F33" s="4"/>
      <c r="G33" s="51"/>
      <c r="H33" s="49"/>
    </row>
    <row r="34" spans="1:8" ht="15.75">
      <c r="A34" s="2" t="s">
        <v>27</v>
      </c>
      <c r="B34" s="2" t="s">
        <v>85</v>
      </c>
      <c r="C34" s="2" t="s">
        <v>100</v>
      </c>
      <c r="D34" s="23"/>
      <c r="E34" s="2" t="s">
        <v>94</v>
      </c>
      <c r="F34" s="4"/>
      <c r="G34" s="51"/>
      <c r="H34" s="49"/>
    </row>
    <row r="35" spans="1:22" ht="15.75">
      <c r="A35" s="2" t="s">
        <v>27</v>
      </c>
      <c r="B35" s="2" t="s">
        <v>10</v>
      </c>
      <c r="C35" s="23" t="s">
        <v>100</v>
      </c>
      <c r="D35" s="23" t="s">
        <v>18</v>
      </c>
      <c r="E35" s="2" t="s">
        <v>94</v>
      </c>
      <c r="F35" s="4">
        <v>20.18</v>
      </c>
      <c r="G35" s="51">
        <f>Input!F33</f>
        <v>0.05</v>
      </c>
      <c r="H35" s="42">
        <f>I35/((L35*L54)+(N35*N54))</f>
        <v>2</v>
      </c>
      <c r="I35" s="2">
        <v>180</v>
      </c>
      <c r="J35" s="2" t="s">
        <v>53</v>
      </c>
      <c r="K35" s="24">
        <f>Input!E33</f>
        <v>3</v>
      </c>
      <c r="L35" s="2">
        <v>3</v>
      </c>
      <c r="M35" s="54">
        <f>((F35/I35)*$L$54*L35*(100%-G35))</f>
        <v>6.3903333333333325</v>
      </c>
      <c r="N35" s="2">
        <f>L35</f>
        <v>3</v>
      </c>
      <c r="O35" s="12">
        <f>((F35/I35)*$N$54*N35*(100%-G35))</f>
        <v>3.1951666666666663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V35" t="s">
        <v>43</v>
      </c>
    </row>
    <row r="36" spans="5:15" s="36" customFormat="1" ht="15.75">
      <c r="E36" s="2"/>
      <c r="H36" s="43"/>
      <c r="M36" s="57"/>
      <c r="O36" s="60"/>
    </row>
    <row r="37" spans="1:22" ht="15.75">
      <c r="A37" s="2" t="s">
        <v>27</v>
      </c>
      <c r="B37" s="2" t="s">
        <v>12</v>
      </c>
      <c r="C37" s="2" t="s">
        <v>100</v>
      </c>
      <c r="D37" s="23" t="s">
        <v>19</v>
      </c>
      <c r="E37" s="2" t="s">
        <v>94</v>
      </c>
      <c r="F37" s="4">
        <v>7.5</v>
      </c>
      <c r="G37" s="51">
        <f>Input!F35</f>
        <v>0</v>
      </c>
      <c r="H37" s="49">
        <f>I37/((L37*L54)+(N37*N54))</f>
        <v>2.1666666666666665</v>
      </c>
      <c r="I37" s="2">
        <v>130</v>
      </c>
      <c r="J37" s="2" t="s">
        <v>53</v>
      </c>
      <c r="K37" s="24">
        <f>Input!E35</f>
        <v>2</v>
      </c>
      <c r="L37" s="2">
        <v>2</v>
      </c>
      <c r="M37" s="54">
        <f>((F37/I37)*$L$54*L37*(100%-G37))</f>
        <v>2.307692307692308</v>
      </c>
      <c r="N37" s="2">
        <f>L37</f>
        <v>2</v>
      </c>
      <c r="O37" s="12">
        <f>((F37/I37)*$N$54*N37*(100%-G37))</f>
        <v>1.153846153846154</v>
      </c>
      <c r="P37" s="2">
        <f>15*K37</f>
        <v>30</v>
      </c>
      <c r="Q37" s="2">
        <f>1.5*K37</f>
        <v>3</v>
      </c>
      <c r="R37" s="2">
        <v>0</v>
      </c>
      <c r="S37" s="2">
        <v>0</v>
      </c>
      <c r="T37" s="2">
        <v>0</v>
      </c>
      <c r="U37" s="26" t="s">
        <v>60</v>
      </c>
      <c r="V37" t="s">
        <v>20</v>
      </c>
    </row>
    <row r="38" spans="1:22" ht="15.75">
      <c r="A38" s="2" t="s">
        <v>27</v>
      </c>
      <c r="B38" s="2" t="s">
        <v>12</v>
      </c>
      <c r="C38" s="2" t="s">
        <v>100</v>
      </c>
      <c r="D38" s="23" t="s">
        <v>17</v>
      </c>
      <c r="E38" s="2" t="s">
        <v>95</v>
      </c>
      <c r="F38" s="4">
        <v>61.16</v>
      </c>
      <c r="G38" s="51">
        <f>Input!F36</f>
        <v>0</v>
      </c>
      <c r="H38" s="42"/>
      <c r="I38" s="2">
        <v>47</v>
      </c>
      <c r="J38" s="2" t="s">
        <v>14</v>
      </c>
      <c r="K38" s="24" t="str">
        <f>Input!E36</f>
        <v>5mL</v>
      </c>
      <c r="L38" s="2">
        <v>0</v>
      </c>
      <c r="M38" s="54">
        <f>((F38/I38)*$L$54*L38*(100%-G38))</f>
        <v>0</v>
      </c>
      <c r="N38" s="2">
        <f>L38</f>
        <v>0</v>
      </c>
      <c r="O38" s="12">
        <f>((F38/I38)*$N$54*N38*(100%-G38))</f>
        <v>0</v>
      </c>
      <c r="P38" s="2">
        <f>45*L38</f>
        <v>0</v>
      </c>
      <c r="Q38" s="2">
        <f>5*N38</f>
        <v>0</v>
      </c>
      <c r="R38" s="2">
        <v>0</v>
      </c>
      <c r="S38" s="2">
        <v>0</v>
      </c>
      <c r="T38" s="2">
        <v>0</v>
      </c>
      <c r="U38" s="26" t="s">
        <v>60</v>
      </c>
      <c r="V38" t="s">
        <v>15</v>
      </c>
    </row>
    <row r="39" spans="4:21" ht="15.75">
      <c r="D39" s="23"/>
      <c r="F39" s="4"/>
      <c r="G39" s="51"/>
      <c r="H39" s="42"/>
      <c r="U39" s="68"/>
    </row>
    <row r="40" spans="1:21" s="11" customFormat="1" ht="15.75">
      <c r="A40" s="10" t="s">
        <v>64</v>
      </c>
      <c r="B40" s="63"/>
      <c r="C40" s="63"/>
      <c r="D40" s="63"/>
      <c r="E40" s="10"/>
      <c r="F40" s="63"/>
      <c r="G40" s="63"/>
      <c r="H40" s="67"/>
      <c r="I40" s="63"/>
      <c r="J40" s="63"/>
      <c r="K40" s="63"/>
      <c r="L40" s="8"/>
      <c r="M40" s="8">
        <f>SUM($M$29:$M$38)</f>
        <v>68.97632109557108</v>
      </c>
      <c r="N40" s="8"/>
      <c r="O40" s="8">
        <f>SUM($O$29:$O$38)</f>
        <v>22.931012820512816</v>
      </c>
      <c r="P40" s="14">
        <f>M40+O40</f>
        <v>91.9073339160839</v>
      </c>
      <c r="Q40" s="10"/>
      <c r="R40" s="10"/>
      <c r="S40" s="10"/>
      <c r="T40" s="10"/>
      <c r="U40" s="20"/>
    </row>
    <row r="41" spans="1:16" s="62" customFormat="1" ht="15.75">
      <c r="A41" s="10">
        <v>1</v>
      </c>
      <c r="E41" s="6"/>
      <c r="H41" s="65"/>
      <c r="M41" s="66">
        <f>M24+$M$40</f>
        <v>86.72207452022862</v>
      </c>
      <c r="O41" s="66">
        <f>O24+$O$40</f>
        <v>24.133512820512816</v>
      </c>
      <c r="P41" s="14">
        <f>M41+O41</f>
        <v>110.85558734074144</v>
      </c>
    </row>
    <row r="42" spans="1:17" s="62" customFormat="1" ht="15.75">
      <c r="A42" s="10">
        <v>2</v>
      </c>
      <c r="E42" s="6"/>
      <c r="H42" s="65"/>
      <c r="M42" s="66">
        <f>M41+M25</f>
        <v>97.36481032269775</v>
      </c>
      <c r="O42" s="66">
        <f>O41+O25</f>
        <v>29.454880721747386</v>
      </c>
      <c r="P42" s="14">
        <f>M42+O42</f>
        <v>126.81969104444514</v>
      </c>
      <c r="Q42" s="14"/>
    </row>
    <row r="43" spans="1:21" s="11" customFormat="1" ht="15.75">
      <c r="A43" s="10">
        <v>3</v>
      </c>
      <c r="B43" s="10"/>
      <c r="C43" s="10"/>
      <c r="D43" s="10"/>
      <c r="E43" s="10"/>
      <c r="F43" s="8"/>
      <c r="G43" s="8"/>
      <c r="H43" s="21"/>
      <c r="I43" s="10"/>
      <c r="J43" s="10"/>
      <c r="K43" s="6"/>
      <c r="L43" s="8"/>
      <c r="M43" s="8">
        <f>M27+M40</f>
        <v>105.31821032269775</v>
      </c>
      <c r="N43" s="8"/>
      <c r="O43" s="8">
        <f>O27+O40</f>
        <v>30.78044738841405</v>
      </c>
      <c r="P43" s="14">
        <f>M43+O43</f>
        <v>136.0986577111118</v>
      </c>
      <c r="Q43" s="10"/>
      <c r="R43" s="10"/>
      <c r="S43" s="10"/>
      <c r="T43" s="10"/>
      <c r="U43" s="20"/>
    </row>
    <row r="44" spans="5:15" s="36" customFormat="1" ht="15.75">
      <c r="E44" s="2"/>
      <c r="H44" s="43"/>
      <c r="M44" s="57"/>
      <c r="O44" s="60"/>
    </row>
    <row r="45" spans="2:22" ht="15.75">
      <c r="B45" s="2" t="s">
        <v>55</v>
      </c>
      <c r="C45" s="2" t="s">
        <v>100</v>
      </c>
      <c r="D45" s="23" t="s">
        <v>44</v>
      </c>
      <c r="E45" s="2" t="s">
        <v>93</v>
      </c>
      <c r="F45" s="4">
        <v>49.99</v>
      </c>
      <c r="G45" s="51">
        <f>Input!F41</f>
        <v>0</v>
      </c>
      <c r="H45" s="49">
        <f>I45/((L45*L54)+(N45*N54))</f>
        <v>1.28</v>
      </c>
      <c r="I45" s="2">
        <v>32</v>
      </c>
      <c r="J45" s="2">
        <v>24</v>
      </c>
      <c r="K45" s="24">
        <f>Input!E40</f>
        <v>30</v>
      </c>
      <c r="L45" s="2">
        <f>K45/J45</f>
        <v>1.25</v>
      </c>
      <c r="M45" s="54">
        <f>((F45/I45)*$L$54*L45*(100%-G45))</f>
        <v>39.0546875</v>
      </c>
      <c r="O45" s="12">
        <f>((F45/I45)*$N$54*N45*(100%-G45))</f>
        <v>0</v>
      </c>
      <c r="P45" s="2">
        <f>120*L45</f>
        <v>150</v>
      </c>
      <c r="Q45" s="2">
        <f>1*L45</f>
        <v>1.25</v>
      </c>
      <c r="R45" s="2">
        <f>3*L45</f>
        <v>3.75</v>
      </c>
      <c r="S45" s="2">
        <v>0</v>
      </c>
      <c r="T45" s="2">
        <f>J45*L45</f>
        <v>30</v>
      </c>
      <c r="V45" t="s">
        <v>45</v>
      </c>
    </row>
    <row r="46" spans="2:22" ht="15.75">
      <c r="B46" s="2" t="s">
        <v>48</v>
      </c>
      <c r="C46" s="23" t="s">
        <v>100</v>
      </c>
      <c r="D46" s="23" t="s">
        <v>21</v>
      </c>
      <c r="E46" s="2" t="s">
        <v>93</v>
      </c>
      <c r="F46" s="4">
        <v>64.99</v>
      </c>
      <c r="G46" s="51">
        <f>Input!F42</f>
        <v>0</v>
      </c>
      <c r="H46" s="49">
        <f>I46/((L46*L54)+(N46*N54))</f>
        <v>0.75</v>
      </c>
      <c r="I46" s="2">
        <v>30</v>
      </c>
      <c r="J46" s="2">
        <v>15</v>
      </c>
      <c r="K46" s="24">
        <f>Input!E41</f>
        <v>30</v>
      </c>
      <c r="L46" s="2">
        <f>K46/J46</f>
        <v>2</v>
      </c>
      <c r="M46" s="54">
        <f>((F46/I46)*$L$54*L46*(100%-G46))</f>
        <v>86.65333333333334</v>
      </c>
      <c r="N46" s="2">
        <v>0</v>
      </c>
      <c r="O46" s="12">
        <f>((F46/I46)*$N$54*N46*(100%-G46))</f>
        <v>0</v>
      </c>
      <c r="P46" s="2">
        <f>80*L46</f>
        <v>160</v>
      </c>
      <c r="Q46" s="2">
        <f>1*L46</f>
        <v>2</v>
      </c>
      <c r="R46" s="2">
        <f>3*L46</f>
        <v>6</v>
      </c>
      <c r="S46" s="2">
        <v>0</v>
      </c>
      <c r="T46" s="2">
        <f>J46*L46</f>
        <v>30</v>
      </c>
      <c r="V46" t="s">
        <v>47</v>
      </c>
    </row>
    <row r="47" spans="2:22" ht="15.75">
      <c r="B47" s="2" t="s">
        <v>54</v>
      </c>
      <c r="C47" s="2" t="s">
        <v>100</v>
      </c>
      <c r="D47" s="23" t="s">
        <v>22</v>
      </c>
      <c r="E47" s="2" t="s">
        <v>93</v>
      </c>
      <c r="F47" s="4">
        <v>54.99</v>
      </c>
      <c r="G47" s="51">
        <f>Input!F43</f>
        <v>0</v>
      </c>
      <c r="H47" s="49">
        <f>I47/((L47*L54)+(N47*N54))</f>
        <v>0.75</v>
      </c>
      <c r="I47" s="2">
        <v>30</v>
      </c>
      <c r="J47" s="2">
        <v>18</v>
      </c>
      <c r="K47" s="24">
        <f>Input!E42</f>
        <v>36</v>
      </c>
      <c r="L47" s="2">
        <f>K47/J47</f>
        <v>2</v>
      </c>
      <c r="M47" s="54">
        <f>((F47/I47)*$L$54*L47*(100%-G47))</f>
        <v>73.32</v>
      </c>
      <c r="N47" s="2">
        <v>0</v>
      </c>
      <c r="O47" s="12">
        <f>((F47/I47)*$N$54*N47*(100%-G47))</f>
        <v>0</v>
      </c>
      <c r="P47" s="2">
        <f>16*L47</f>
        <v>32</v>
      </c>
      <c r="Q47" s="2">
        <v>0</v>
      </c>
      <c r="R47" s="2">
        <f>4*L47</f>
        <v>8</v>
      </c>
      <c r="S47" s="2">
        <f>1*L47</f>
        <v>2</v>
      </c>
      <c r="T47" s="2">
        <v>0</v>
      </c>
      <c r="V47" t="s">
        <v>23</v>
      </c>
    </row>
    <row r="48" spans="1:22" s="11" customFormat="1" ht="15.75">
      <c r="A48" s="10" t="s">
        <v>64</v>
      </c>
      <c r="B48" s="10"/>
      <c r="C48" s="10"/>
      <c r="D48" s="10"/>
      <c r="E48" s="10"/>
      <c r="F48" s="8"/>
      <c r="G48" s="8"/>
      <c r="H48" s="21"/>
      <c r="I48" s="10"/>
      <c r="J48" s="10"/>
      <c r="K48" s="6"/>
      <c r="L48" s="8"/>
      <c r="M48" s="8">
        <f>SUM($M$45:$M$47)</f>
        <v>199.02802083333333</v>
      </c>
      <c r="N48" s="14"/>
      <c r="O48" s="14">
        <f>SUM($O$45:$O$47)</f>
        <v>0</v>
      </c>
      <c r="P48" s="14">
        <f>M48+O48</f>
        <v>199.02802083333333</v>
      </c>
      <c r="Q48" s="10"/>
      <c r="R48" s="10"/>
      <c r="S48" s="10"/>
      <c r="T48" s="10"/>
      <c r="U48" s="20"/>
      <c r="V48" s="27" t="s">
        <v>39</v>
      </c>
    </row>
    <row r="49" spans="5:15" s="36" customFormat="1" ht="15.75">
      <c r="E49" s="2"/>
      <c r="H49" s="43"/>
      <c r="M49" s="57"/>
      <c r="O49" s="60"/>
    </row>
    <row r="50" spans="2:22" ht="15.75">
      <c r="B50" s="2" t="s">
        <v>48</v>
      </c>
      <c r="C50" s="2" t="s">
        <v>100</v>
      </c>
      <c r="D50" s="23" t="s">
        <v>34</v>
      </c>
      <c r="E50" s="2" t="s">
        <v>93</v>
      </c>
      <c r="F50" s="4">
        <v>74</v>
      </c>
      <c r="G50" s="51">
        <f>Input!F45</f>
        <v>0.3</v>
      </c>
      <c r="H50" s="50">
        <f>I50/((L50*L54)+(N50*N54))</f>
        <v>1</v>
      </c>
      <c r="I50" s="2">
        <v>30</v>
      </c>
      <c r="J50" s="2">
        <v>20</v>
      </c>
      <c r="K50" s="24">
        <f>Input!E45</f>
        <v>30</v>
      </c>
      <c r="L50" s="2">
        <f>K50/J50</f>
        <v>1.5</v>
      </c>
      <c r="M50" s="54">
        <f>((F50/I50)*$L$54*L50*(100%-G50))</f>
        <v>51.8</v>
      </c>
      <c r="N50" s="2">
        <v>0</v>
      </c>
      <c r="O50" s="12">
        <f>((F50/I50)*$N$54*N50*(100%-G50))</f>
        <v>0</v>
      </c>
      <c r="P50" s="3">
        <f>160*L50</f>
        <v>240</v>
      </c>
      <c r="Q50" s="3">
        <f>3*L50</f>
        <v>4.5</v>
      </c>
      <c r="R50" s="3">
        <f>14*L50</f>
        <v>21</v>
      </c>
      <c r="S50" s="3">
        <f>9*L50</f>
        <v>13.5</v>
      </c>
      <c r="T50" s="2">
        <f>J50*L50</f>
        <v>30</v>
      </c>
      <c r="V50" s="5" t="s">
        <v>40</v>
      </c>
    </row>
    <row r="51" spans="2:22" ht="15.75">
      <c r="B51" s="2" t="s">
        <v>54</v>
      </c>
      <c r="C51" s="2" t="s">
        <v>100</v>
      </c>
      <c r="D51" s="23" t="s">
        <v>35</v>
      </c>
      <c r="E51" s="2" t="s">
        <v>93</v>
      </c>
      <c r="F51" s="4">
        <v>50</v>
      </c>
      <c r="G51" s="51">
        <f>Input!F46</f>
        <v>0.3</v>
      </c>
      <c r="H51" s="49">
        <f>I51/((L51*L54)+(N51*N54))</f>
        <v>0.5</v>
      </c>
      <c r="I51" s="2">
        <v>20</v>
      </c>
      <c r="J51" s="2">
        <v>16.4</v>
      </c>
      <c r="K51" s="24">
        <f>Input!E46</f>
        <v>32.8</v>
      </c>
      <c r="L51" s="2">
        <f>K51/J51</f>
        <v>2</v>
      </c>
      <c r="M51" s="54">
        <f>((F51/I51)*$L$54*L51*(100%-G51))</f>
        <v>70</v>
      </c>
      <c r="N51" s="2">
        <v>0</v>
      </c>
      <c r="O51" s="12">
        <f>((F51/I51)*$N$54*N51*(100%-G51))</f>
        <v>0</v>
      </c>
      <c r="P51" s="3">
        <f>50*L51</f>
        <v>100</v>
      </c>
      <c r="Q51" s="2">
        <v>0</v>
      </c>
      <c r="R51" s="3">
        <f>9*L51</f>
        <v>18</v>
      </c>
      <c r="S51" s="3">
        <f>6*L51</f>
        <v>12</v>
      </c>
      <c r="T51" s="2">
        <v>0</v>
      </c>
      <c r="V51" s="5" t="s">
        <v>41</v>
      </c>
    </row>
    <row r="52" spans="1:22" s="11" customFormat="1" ht="15.75">
      <c r="A52" s="10" t="s">
        <v>64</v>
      </c>
      <c r="B52" s="10"/>
      <c r="C52" s="10"/>
      <c r="D52" s="10"/>
      <c r="E52" s="10"/>
      <c r="F52" s="8"/>
      <c r="G52" s="22"/>
      <c r="H52" s="46"/>
      <c r="I52" s="10"/>
      <c r="J52" s="10"/>
      <c r="K52" s="6"/>
      <c r="L52" s="8"/>
      <c r="M52" s="8">
        <f>SUM($M$50:$M$51)</f>
        <v>121.8</v>
      </c>
      <c r="N52" s="14"/>
      <c r="O52" s="14">
        <f>SUM($O$50:$O$51)</f>
        <v>0</v>
      </c>
      <c r="P52" s="14">
        <f>M52+O52</f>
        <v>121.8</v>
      </c>
      <c r="Q52" s="10"/>
      <c r="R52" s="10"/>
      <c r="S52" s="10"/>
      <c r="T52" s="10"/>
      <c r="U52" s="20"/>
      <c r="V52" s="27" t="s">
        <v>65</v>
      </c>
    </row>
    <row r="53" spans="5:15" s="36" customFormat="1" ht="15.75">
      <c r="E53" s="2"/>
      <c r="H53" s="43"/>
      <c r="M53" s="57"/>
      <c r="O53" s="60"/>
    </row>
    <row r="54" spans="1:21" s="33" customFormat="1" ht="15.75">
      <c r="A54" s="28"/>
      <c r="B54" s="28"/>
      <c r="C54" s="28"/>
      <c r="D54" s="28"/>
      <c r="E54" s="28"/>
      <c r="F54" s="34"/>
      <c r="G54" s="34"/>
      <c r="H54" s="47"/>
      <c r="I54" s="28"/>
      <c r="J54" s="28"/>
      <c r="K54" s="24" t="str">
        <f>Input!E49</f>
        <v>Default</v>
      </c>
      <c r="L54" s="24">
        <f>Input!G49</f>
        <v>20</v>
      </c>
      <c r="M54" s="58"/>
      <c r="N54" s="24">
        <f>Input!H49</f>
        <v>10</v>
      </c>
      <c r="O54" s="61"/>
      <c r="P54" s="28"/>
      <c r="Q54" s="28"/>
      <c r="R54" s="28"/>
      <c r="S54" s="28"/>
      <c r="T54" s="28"/>
      <c r="U54" s="32"/>
    </row>
    <row r="55" spans="5:15" s="36" customFormat="1" ht="15.75">
      <c r="E55" s="2"/>
      <c r="H55" s="43"/>
      <c r="M55" s="57"/>
      <c r="O55" s="60"/>
    </row>
  </sheetData>
  <dataValidations count="1">
    <dataValidation type="list" allowBlank="1" showInputMessage="1" showErrorMessage="1" sqref="K54:O54">
      <formula1>"Default, SFH"</formula1>
    </dataValidation>
  </dataValidations>
  <hyperlinks>
    <hyperlink ref="D32" r:id="rId1" display="https://www.amazon.com/Vitargo-Pre-Intra-Post-Supplement-Unflavored-Servings/dp/B00LLIO1XW/ref=sr_1_2_s_it?s=hpc&amp;ie=UTF8&amp;qid=1483407073&amp;sr=1-2&amp;keywords=vitargo+s2"/>
    <hyperlink ref="D35" r:id="rId2" display="https://www.amazon.com/Optimum-Nutrition-ZMA-180-Capsules/dp/B000GIQS02/ref=pd_sim_121_4?_encoding=UTF8&amp;pd_rd_i=B000GIQS02&amp;pd_rd_r=E1J38KDAMW2AQS124H4E&amp;pd_rd_w=3NOp7&amp;pd_rd_wg=XhFmm&amp;refRID=E1J38KDAMW2AQS124H4E&amp;th=1"/>
    <hyperlink ref="D37" r:id="rId3" display="https://www.amazon.com/Natures-Bounty-Strength-One-Per-Odorless/dp/B00225UVDC/ref=sr_1_2_s_it?s=hpc&amp;ie=UTF8&amp;qid=1483373630&amp;sr=1-2&amp;keywords=natures%2Bbounty%2Bfish%2Boil%2B1400mg&amp;th=1"/>
    <hyperlink ref="D38" r:id="rId4" display="https://www.amazon.com/Nordic-Naturals-Ultimate-Support-Healthy/dp/B015RZ8AN6/ref=sr_1_2_s_it?s=hpc&amp;ie=UTF8&amp;qid=1483373377&amp;sr=1-2&amp;keywords=Nordic%2BNaturals%2BUltimate%2BOmega%2Bfish%2Boil&amp;th=1"/>
    <hyperlink ref="D46" r:id="rId5" display="https://www.sfh.com/shop/whey-protein/recovery.html"/>
    <hyperlink ref="D47" r:id="rId6" display="https://www.sfh.com/push-1166.html"/>
    <hyperlink ref="D45" r:id="rId7" display="https://www.sfh.com/pure-whey.html"/>
    <hyperlink ref="D50" r:id="rId8" display="http://www.arbonne.com/pws/homeoffice/store/amus/product/vanilla-protein-shake-mix-powder-us-2070,1476,272.aspx"/>
    <hyperlink ref="D51" r:id="rId9" display="http://www.arbonne.com/PWS/homeoffice/store/AMUS/product/Prepare-Endure-6260,7712,272.aspx"/>
    <hyperlink ref="D29" r:id="rId10" display="https://www.amazon.com/gp/product/B002DYJ0M0/ref=ox_sc_act_title_1?ie=UTF8&amp;smid=ATVPDKIKX0DER&amp;th=1"/>
    <hyperlink ref="D22" r:id="rId11" display="https://www.amazon.com/Now-Foods-Taurine-1000Mg-100-Capsules/dp/B0019LRYD0/ref=sr_1_3_a_it?ie=UTF8&amp;qid=1483404857&amp;sr=8-3&amp;keywords=taurine&amp;th=1"/>
    <hyperlink ref="D21" r:id="rId12" display="https://www.amazon.com/Caffeine-Pills-tablets-ProLab-Bottles/dp/B00HTH5A9I/ref=sr_1_4_a_it?ie=UTF8&amp;qid=1483404933&amp;sr=8-4&amp;keywords=caffeine+pills+200mg"/>
    <hyperlink ref="D20" r:id="rId13" display="https://www.amazon.com/Now-Foods-D-Ribose-Powder-8-Ounce/dp/B000MLAO4Y?th=1"/>
    <hyperlink ref="D17" r:id="rId14" display="https://www.amazon.com/Optimum-Nutrition-Glutamine-Capsules-1000mg/dp/B002DYIZCQ/ref=pd_sim_121_15?_encoding=UTF8&amp;pd_rd_i=B002DYIZCQ&amp;pd_rd_r=QM272RYD1A0ZQRWMR6VY&amp;pd_rd_w=DaLBI&amp;pd_rd_wg=SLrGc&amp;refRID=QM272RYD1A0ZQRWMR6VY&amp;th=1"/>
    <hyperlink ref="D15" r:id="rId15" display="https://www.amazon.com/Optimum-Nutrition-COQ10-Soft-Count/dp/B01JLPJRU8/ref=sr_1_1_a_it?srs=2597841011&amp;ie=UTF8&amp;qid=1483372182&amp;sr=8-1&amp;keywords=CoQ10"/>
    <hyperlink ref="D14" r:id="rId16" display="https://www.amazon.com/NOW-Foods-Acetyl-L-Carnitine-500mg/dp/B000QSLINE/ref=sr_1_1_a_it?ie=UTF8&amp;qid=1483407145&amp;sr=8-1&amp;keywords=now%2Bfoods%2Bcarnitine&amp;th=1"/>
    <hyperlink ref="D12" r:id="rId17" display="https://www.amazon.com/Optimum-Nutrition-Beta-Alanine-Unflavored-Ounce/dp/B002DYIZP8/ref=pd_sim_121_11?_encoding=UTF8&amp;pd_rd_i=B002DYIZP8&amp;pd_rd_r=DHR3BCNQFKGTPSH69TTD&amp;pd_rd_w=UNGic&amp;pd_rd_wg=RDRbb&amp;psc=1&amp;refRID=DHR3BCNQFKGTPSH69TTD"/>
    <hyperlink ref="D8" r:id="rId18" display="https://www.amazon.com/Optimum-Nutrition-Instantized-5000mg-Unflavored/dp/B002DYIZIU/ref=zg_bs_6939949011_2?_encoding=UTF8&amp;refRID=XH8YY52YCZAZBRFCPJ01&amp;th=1"/>
    <hyperlink ref="D6" r:id="rId19" display="https://www.amazon.com/Optimum-Nutrition-Creatine-Powder-Unflavored/dp/B002DYIZEO/ref=pd_bxgy_121_img_2?_encoding=UTF8&amp;pd_rd_i=B002DYIZEO&amp;pd_rd_r=3JC0WW01X2A2NE2VJV9F&amp;pd_rd_w=DffAE&amp;pd_rd_wg=IZyjj&amp;refRID=3JC0WW01X2A2NE2VJV9F&amp;th=1"/>
    <hyperlink ref="D2" r:id="rId20" display="https://www.amazon.com/Optimum-Nutrition-Standard-Double-Chocolate/dp/B000GIQT2O/ref=pd_sim_121_2?_encoding=UTF8&amp;pd_rd_i=B000QSNYGI&amp;pd_rd_r=T5Z7CBGFF4XER095NZPJ&amp;pd_rd_w=wUZ4S&amp;pd_rd_wg=CsyRU&amp;refRID=T5Z7CBGFF4XER095NZPJ&amp;th=1"/>
    <hyperlink ref="D3" r:id="rId21" display="https://www.sfh.com/pure-whey.html"/>
    <hyperlink ref="D4" r:id="rId22" display="http://www.arbonne.com/pws/homeoffice/store/amus/product/vanilla-protein-shake-mix-powder-us-2070,1476,272.aspx"/>
    <hyperlink ref="D18" r:id="rId23" display="https://www.amazon.com/Optimum-Nutrition-Glutamine-Powder-1000g/dp/B000GIUQR8/ref=sr_1_1_a_it?ie=UTF8&amp;qid=1483555882&amp;sr=8-1&amp;keywords=glutamine%2Boptimum%2Bnutrition&amp;th=1"/>
    <hyperlink ref="D10" r:id="rId24" display="https://www.amazon.com/BulkSupplements-Pure-HMB-Powder-grams/dp/B017L2M868/ref=sr_1_1?s=hpc&amp;ie=UTF8&amp;qid=1483568199&amp;sr=1-1-spons&amp;keywords=hmb&amp;th=1"/>
    <hyperlink ref="C35" r:id="rId25" display="https://www.crossfitinvictus.com/wod/thursday-may-28-2009/"/>
    <hyperlink ref="C6" r:id="rId26" display="http://www.tierthreetactical.com/crossfit-supplement-review-hmb-creatine/"/>
    <hyperlink ref="C8" r:id="rId27" display="http://hyperionmind.com/blogs/news/16257500-hmb-vs-leucine-which-is-better"/>
    <hyperlink ref="C9" r:id="rId28" display="http://www.bodybuilding.com/fun/beast7.htm"/>
    <hyperlink ref="C10" r:id="rId29" display="http://www.bodybuilding.com/fun/beast7.htm"/>
    <hyperlink ref="C46" r:id="rId30" display="http://strongerfasterhealthier.tumblr.com/post/4748396222/whats-in-my-recovery-product-sfh-post-workout"/>
    <hyperlink ref="D30" r:id="rId31" display="https://www.ascentprotein.com/products/native-fuel-micellar-casein-protein-powder-blend-c.html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2017-01-02T15:26:57Z</dcterms:created>
  <dcterms:modified xsi:type="dcterms:W3CDTF">2017-02-12T14:54:43Z</dcterms:modified>
  <cp:category/>
  <cp:version/>
  <cp:contentType/>
  <cp:contentStatus/>
</cp:coreProperties>
</file>